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N:\Thema-Omgeving\Prog-Duurzaamheid\020_Wonen (warmtetransitie)\300_Duurzame wijk\010 Wijken\DW Driebergen Wildbaan-Dennenburg\Activiteiten\240320_inwonersbijeenkomst-isolatie\Warmtebehoefte\"/>
    </mc:Choice>
  </mc:AlternateContent>
  <xr:revisionPtr revIDLastSave="0" documentId="13_ncr:1_{DE3C4A3A-E938-4E63-91AE-564340B12293}" xr6:coauthVersionLast="47" xr6:coauthVersionMax="47" xr10:uidLastSave="{00000000-0000-0000-0000-000000000000}"/>
  <bookViews>
    <workbookView xWindow="-120" yWindow="-120" windowWidth="29040" windowHeight="15225" firstSheet="1" activeTab="2" xr2:uid="{CE3EA7B6-AB03-426D-9EF1-FDE197218743}"/>
  </bookViews>
  <sheets>
    <sheet name="Uitgangspunten" sheetId="4" r:id="rId1"/>
    <sheet name="Rekenhulp" sheetId="6" r:id="rId2"/>
    <sheet name="Invoer - Jachtlaan" sheetId="2" r:id="rId3"/>
    <sheet name="Uitvoer - Jachtlaan" sheetId="3" r:id="rId4"/>
    <sheet name="Invoer - Uw woning" sheetId="9" r:id="rId5"/>
    <sheet name="Uitvoer - Uw woning" sheetId="10" r:id="rId6"/>
    <sheet name="Lijsten" sheetId="5" state="very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6" l="1"/>
  <c r="D42" i="6"/>
  <c r="D41" i="6"/>
  <c r="D44" i="6"/>
  <c r="D20" i="6"/>
  <c r="D19" i="6"/>
  <c r="K68" i="2"/>
  <c r="K65" i="2"/>
  <c r="K71" i="2"/>
  <c r="K70" i="2"/>
  <c r="K69" i="2"/>
  <c r="K67" i="2"/>
  <c r="K63" i="2"/>
  <c r="K64" i="2"/>
  <c r="K66" i="2"/>
  <c r="K62" i="2"/>
  <c r="K72" i="2" s="1"/>
  <c r="B28" i="10"/>
  <c r="H25" i="10"/>
  <c r="F25" i="10"/>
  <c r="E25" i="10"/>
  <c r="C25" i="10"/>
  <c r="B25" i="10"/>
  <c r="F14" i="10"/>
  <c r="E14" i="10"/>
  <c r="H14" i="10"/>
  <c r="I14" i="10"/>
  <c r="B14" i="10"/>
  <c r="C14" i="10"/>
  <c r="B25" i="9"/>
  <c r="B24" i="9"/>
  <c r="B93" i="9"/>
  <c r="H24" i="10"/>
  <c r="I24" i="10" s="1"/>
  <c r="F24" i="10"/>
  <c r="E24" i="10"/>
  <c r="C24" i="10"/>
  <c r="B24" i="10"/>
  <c r="H23" i="10"/>
  <c r="I23" i="10" s="1"/>
  <c r="F23" i="10"/>
  <c r="E23" i="10"/>
  <c r="C23" i="10"/>
  <c r="B23" i="10"/>
  <c r="H22" i="10"/>
  <c r="I22" i="10" s="1"/>
  <c r="F22" i="10"/>
  <c r="E22" i="10"/>
  <c r="C22" i="10"/>
  <c r="B22" i="10"/>
  <c r="H19" i="10"/>
  <c r="I19" i="10" s="1"/>
  <c r="F19" i="10"/>
  <c r="E19" i="10"/>
  <c r="C19" i="10"/>
  <c r="B19" i="10"/>
  <c r="H18" i="10"/>
  <c r="I18" i="10" s="1"/>
  <c r="F18" i="10"/>
  <c r="E18" i="10"/>
  <c r="C18" i="10"/>
  <c r="B18" i="10"/>
  <c r="H17" i="10"/>
  <c r="I17" i="10" s="1"/>
  <c r="F17" i="10"/>
  <c r="E17" i="10"/>
  <c r="C17" i="10"/>
  <c r="B17" i="10"/>
  <c r="H16" i="10"/>
  <c r="I16" i="10" s="1"/>
  <c r="F16" i="10"/>
  <c r="E16" i="10"/>
  <c r="C16" i="10"/>
  <c r="B16" i="10"/>
  <c r="I25" i="10"/>
  <c r="B30" i="10"/>
  <c r="B29" i="10"/>
  <c r="H15" i="10" l="1"/>
  <c r="I15" i="10" s="1"/>
  <c r="F15" i="10"/>
  <c r="E15" i="10"/>
  <c r="C15" i="10"/>
  <c r="B15" i="10"/>
  <c r="H20" i="10"/>
  <c r="I20" i="10" s="1"/>
  <c r="F20" i="10"/>
  <c r="E20" i="10"/>
  <c r="C20" i="10"/>
  <c r="B20" i="10"/>
  <c r="H21" i="10"/>
  <c r="I21" i="10" s="1"/>
  <c r="F21" i="10"/>
  <c r="E21" i="10"/>
  <c r="C21" i="10"/>
  <c r="B21" i="10"/>
  <c r="B26" i="10"/>
  <c r="C26" i="10"/>
  <c r="I26" i="10"/>
  <c r="H26" i="10"/>
  <c r="B31" i="10" s="1"/>
  <c r="E26" i="10"/>
  <c r="F26" i="10"/>
  <c r="E23" i="3" l="1"/>
  <c r="F23" i="3"/>
  <c r="E24" i="3"/>
  <c r="F24" i="3"/>
  <c r="F22" i="3"/>
  <c r="E22" i="3"/>
  <c r="F21" i="3"/>
  <c r="E21" i="3"/>
  <c r="F20" i="3"/>
  <c r="E20" i="3"/>
  <c r="F19" i="3"/>
  <c r="E19" i="3"/>
  <c r="F18" i="3"/>
  <c r="E18" i="3"/>
  <c r="F17" i="3"/>
  <c r="E17" i="3"/>
  <c r="F16" i="3"/>
  <c r="E16" i="3"/>
  <c r="F15" i="3"/>
  <c r="E15" i="3"/>
  <c r="F14" i="3"/>
  <c r="E14" i="3"/>
  <c r="B23" i="3"/>
  <c r="C23" i="3"/>
  <c r="B24" i="3"/>
  <c r="C24" i="3"/>
  <c r="C22" i="3"/>
  <c r="B22" i="3"/>
  <c r="C21" i="3"/>
  <c r="B21" i="3"/>
  <c r="C20" i="3"/>
  <c r="B20" i="3"/>
  <c r="C19" i="3"/>
  <c r="B19" i="3"/>
  <c r="C18" i="3"/>
  <c r="B18" i="3"/>
  <c r="C17" i="3"/>
  <c r="B17" i="3"/>
  <c r="C16" i="3"/>
  <c r="B16" i="3"/>
  <c r="C15" i="3"/>
  <c r="B15" i="3"/>
  <c r="D36" i="6"/>
  <c r="D37" i="6"/>
  <c r="D38" i="6"/>
  <c r="D39" i="6"/>
  <c r="D40" i="6"/>
  <c r="D45" i="6"/>
  <c r="D46" i="6"/>
  <c r="D47" i="6"/>
  <c r="D35" i="6"/>
  <c r="C48" i="6" s="1"/>
  <c r="D11" i="6"/>
  <c r="D12" i="6"/>
  <c r="D13" i="6"/>
  <c r="D14" i="6"/>
  <c r="D15" i="6"/>
  <c r="D16" i="6"/>
  <c r="D17" i="6"/>
  <c r="D18" i="6"/>
  <c r="D22" i="6"/>
  <c r="D10" i="6"/>
  <c r="C23" i="6" s="1"/>
  <c r="C43" i="4"/>
  <c r="B43" i="4"/>
  <c r="C36" i="4"/>
  <c r="B36" i="4"/>
  <c r="B93" i="2"/>
  <c r="H25" i="3"/>
  <c r="I25" i="3"/>
  <c r="C25" i="3"/>
  <c r="B25" i="3"/>
  <c r="B28" i="3"/>
  <c r="H22" i="3"/>
  <c r="I22" i="3" s="1"/>
  <c r="H23" i="3"/>
  <c r="I23" i="3" s="1"/>
  <c r="H24" i="3"/>
  <c r="I24" i="3" s="1"/>
  <c r="H16" i="3"/>
  <c r="I16" i="3" s="1"/>
  <c r="H19" i="3"/>
  <c r="I19" i="3" s="1"/>
  <c r="H17" i="3"/>
  <c r="I17" i="3" s="1"/>
  <c r="H18" i="3"/>
  <c r="I18" i="3" s="1"/>
  <c r="C14" i="3"/>
  <c r="B14" i="3"/>
  <c r="B24" i="2"/>
  <c r="B29" i="3" s="1"/>
  <c r="B25" i="2"/>
  <c r="B30" i="3" s="1"/>
  <c r="B26" i="3" l="1"/>
  <c r="C26" i="3"/>
  <c r="I14" i="3"/>
  <c r="H14" i="3"/>
  <c r="H15" i="3"/>
  <c r="I15" i="3" s="1"/>
  <c r="H20" i="3"/>
  <c r="I20" i="3" s="1"/>
  <c r="H21" i="3"/>
  <c r="I21" i="3" s="1"/>
  <c r="H26" i="3" l="1"/>
  <c r="B31" i="3" s="1"/>
  <c r="I26" i="3"/>
  <c r="E26" i="3"/>
  <c r="F26" i="3"/>
</calcChain>
</file>

<file path=xl/sharedStrings.xml><?xml version="1.0" encoding="utf-8"?>
<sst xmlns="http://schemas.openxmlformats.org/spreadsheetml/2006/main" count="302" uniqueCount="91">
  <si>
    <t>dagen</t>
  </si>
  <si>
    <t>K*dagen</t>
  </si>
  <si>
    <t>Graaddagen</t>
  </si>
  <si>
    <t>m2</t>
  </si>
  <si>
    <t>W/m2K</t>
  </si>
  <si>
    <t>Tussenwoning</t>
  </si>
  <si>
    <t>Totaal</t>
  </si>
  <si>
    <t>Adres</t>
  </si>
  <si>
    <t>Bouwjaar</t>
  </si>
  <si>
    <t>Compactheid</t>
  </si>
  <si>
    <t>Vloeroppervlakte</t>
  </si>
  <si>
    <t>Type woning</t>
  </si>
  <si>
    <t>Fossiel verbruik</t>
  </si>
  <si>
    <t>kWh/m2/jaar</t>
  </si>
  <si>
    <t>Warmtebehoefte</t>
  </si>
  <si>
    <t>Gevels</t>
  </si>
  <si>
    <t>Woningkenmerken</t>
  </si>
  <si>
    <t>Energiebehoefte</t>
  </si>
  <si>
    <t>Oppervlakte bouwdelen</t>
  </si>
  <si>
    <t>Isolatiewaarde bouwdelen</t>
  </si>
  <si>
    <t>Rc-waarde Gevels</t>
  </si>
  <si>
    <t>m2K/W</t>
  </si>
  <si>
    <t>U-waarde Gevelpanelen</t>
  </si>
  <si>
    <t>Gevelpanelen</t>
  </si>
  <si>
    <t>Daken hellend</t>
  </si>
  <si>
    <t>Daken plat</t>
  </si>
  <si>
    <t>Rc-waarde Daken hellend</t>
  </si>
  <si>
    <t>Rc-waarde Daken plat</t>
  </si>
  <si>
    <t>Vloeren</t>
  </si>
  <si>
    <t>Rc-waarde Vloeren</t>
  </si>
  <si>
    <t>Ramen Bovenverdieping</t>
  </si>
  <si>
    <t>Ramen Begane grond</t>
  </si>
  <si>
    <t>U-waarde Ramen Begane grond</t>
  </si>
  <si>
    <t>U-waarde Ramen Bovenverdieping</t>
  </si>
  <si>
    <t>Buitendeuren</t>
  </si>
  <si>
    <t>Huidig</t>
  </si>
  <si>
    <t xml:space="preserve">Wat kost het? </t>
  </si>
  <si>
    <t>Minimaal</t>
  </si>
  <si>
    <t>Maximaal</t>
  </si>
  <si>
    <t>Wat levert het op?</t>
  </si>
  <si>
    <t>Streefwaarden Isolatiestandaard</t>
  </si>
  <si>
    <t>Kierdichting</t>
  </si>
  <si>
    <t>Zijn kieren en naden gedicht?</t>
  </si>
  <si>
    <t>Streefwaarde warmtebehoefte HT</t>
  </si>
  <si>
    <t>Streefwaarde warmtebehoefte LT</t>
  </si>
  <si>
    <t>Nee</t>
  </si>
  <si>
    <t>Onbekend</t>
  </si>
  <si>
    <t>Kosten</t>
  </si>
  <si>
    <t>Eenheid</t>
  </si>
  <si>
    <t>Per woning</t>
  </si>
  <si>
    <t>Subsidie</t>
  </si>
  <si>
    <t>Per m2</t>
  </si>
  <si>
    <t>Periode graaddagen</t>
  </si>
  <si>
    <t>Vermindering warmtebehoefte (kWh/m2/jaar)</t>
  </si>
  <si>
    <t>Gevels (spouwmuur)</t>
  </si>
  <si>
    <t>Overig</t>
  </si>
  <si>
    <t>Kozijnen meevervangen met ramen?</t>
  </si>
  <si>
    <t>Kozijnen vervangen</t>
  </si>
  <si>
    <t>Per stuk</t>
  </si>
  <si>
    <t>Buitendeur 1</t>
  </si>
  <si>
    <t>Buitendeur 2</t>
  </si>
  <si>
    <t>Buitendeur 3</t>
  </si>
  <si>
    <t>U-waarde Buitendeur 1</t>
  </si>
  <si>
    <t>U-waarde Buitendeur 2</t>
  </si>
  <si>
    <t>U-waarde Buitendeur 3</t>
  </si>
  <si>
    <t>Huidige warmtebehoefte woning</t>
  </si>
  <si>
    <t>Theoretische nieuwe warmtebehoefte</t>
  </si>
  <si>
    <t>Streefwaarde HT</t>
  </si>
  <si>
    <t>Streefwaarde LT</t>
  </si>
  <si>
    <t>Ventilatie</t>
  </si>
  <si>
    <t>Ventilatie (Begane grond)</t>
  </si>
  <si>
    <t>% warmteverlies door ventilatie</t>
  </si>
  <si>
    <t>Subsidie
(als voldaan aan voorwaarden)</t>
  </si>
  <si>
    <t>Rendement warmteterugwinning ventilatie</t>
  </si>
  <si>
    <t>% woning voorzien van wtw ventilatie?</t>
  </si>
  <si>
    <t>Verwacht/gewenst</t>
  </si>
  <si>
    <t>Hoekwoning</t>
  </si>
  <si>
    <t>Appartement</t>
  </si>
  <si>
    <t>Vrijstaande woning</t>
  </si>
  <si>
    <t>Twee-onder-een-kap</t>
  </si>
  <si>
    <t>Ja</t>
  </si>
  <si>
    <t>Maatregel</t>
  </si>
  <si>
    <t>Onderdeel</t>
  </si>
  <si>
    <t>Oppervlakte (m2)</t>
  </si>
  <si>
    <t>Isolatiewaarde (Rc-waarde)</t>
  </si>
  <si>
    <t>Gewogen gemiddelde:</t>
  </si>
  <si>
    <t>Gewogen gemiddelde isolatiewaarde o.b.v. Rc-waarde</t>
  </si>
  <si>
    <t>Isolatiewaarde (U-waarde)</t>
  </si>
  <si>
    <t>Gewogen gemiddelde isolatiewaarde o.b.v. U-waarde</t>
  </si>
  <si>
    <t>Theoretisch vermindering gasverbruik (m3/jaar)</t>
  </si>
  <si>
    <t>Jachtlaan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</si>
</sst>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quot;€&quot;\ #,##0"/>
    <numFmt numFmtId="166" formatCode="0.0%"/>
  </numFmts>
  <fonts count="8"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b/>
      <sz val="18"/>
      <color theme="1"/>
      <name val="Calibri"/>
      <family val="2"/>
      <scheme val="minor"/>
    </font>
    <font>
      <sz val="11"/>
      <color theme="9" tint="0.79998168889431442"/>
      <name val="Calibri"/>
      <family val="2"/>
      <scheme val="minor"/>
    </font>
    <font>
      <b/>
      <sz val="14"/>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theme="0" tint="-0.24994659260841701"/>
      </left>
      <right style="thin">
        <color theme="0" tint="-0.14996795556505021"/>
      </right>
      <top style="thick">
        <color theme="0" tint="-0.24994659260841701"/>
      </top>
      <bottom style="thick">
        <color theme="0" tint="-0.24994659260841701"/>
      </bottom>
      <diagonal/>
    </border>
    <border>
      <left style="thin">
        <color theme="0" tint="-0.14996795556505021"/>
      </left>
      <right style="thick">
        <color theme="0" tint="-0.24994659260841701"/>
      </right>
      <top style="thick">
        <color theme="0" tint="-0.24994659260841701"/>
      </top>
      <bottom style="thick">
        <color theme="0" tint="-0.24994659260841701"/>
      </bottom>
      <diagonal/>
    </border>
    <border>
      <left style="thick">
        <color theme="0" tint="-0.24994659260841701"/>
      </left>
      <right style="thin">
        <color theme="0" tint="-0.14996795556505021"/>
      </right>
      <top style="thick">
        <color theme="0" tint="-0.24994659260841701"/>
      </top>
      <bottom style="thin">
        <color theme="0" tint="-0.14996795556505021"/>
      </bottom>
      <diagonal/>
    </border>
    <border>
      <left style="thin">
        <color theme="0" tint="-0.14996795556505021"/>
      </left>
      <right style="thin">
        <color theme="0" tint="-0.14996795556505021"/>
      </right>
      <top style="thick">
        <color theme="0" tint="-0.24994659260841701"/>
      </top>
      <bottom style="thin">
        <color theme="0" tint="-0.14996795556505021"/>
      </bottom>
      <diagonal/>
    </border>
    <border>
      <left style="thin">
        <color theme="0" tint="-0.14996795556505021"/>
      </left>
      <right style="thick">
        <color theme="0" tint="-0.24994659260841701"/>
      </right>
      <top style="thick">
        <color theme="0" tint="-0.24994659260841701"/>
      </top>
      <bottom style="thin">
        <color theme="0" tint="-0.14996795556505021"/>
      </bottom>
      <diagonal/>
    </border>
    <border>
      <left style="thick">
        <color theme="0" tint="-0.2499465926084170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24994659260841701"/>
      </right>
      <top style="thin">
        <color theme="0" tint="-0.14996795556505021"/>
      </top>
      <bottom style="thin">
        <color theme="0" tint="-0.14996795556505021"/>
      </bottom>
      <diagonal/>
    </border>
    <border>
      <left style="thick">
        <color theme="0" tint="-0.24994659260841701"/>
      </left>
      <right style="thin">
        <color theme="0" tint="-0.14996795556505021"/>
      </right>
      <top style="thin">
        <color theme="0" tint="-0.14996795556505021"/>
      </top>
      <bottom/>
      <diagonal/>
    </border>
    <border>
      <left style="thin">
        <color theme="0" tint="-0.14996795556505021"/>
      </left>
      <right style="thick">
        <color theme="0" tint="-0.24994659260841701"/>
      </right>
      <top style="thin">
        <color theme="0" tint="-0.14996795556505021"/>
      </top>
      <bottom/>
      <diagonal/>
    </border>
    <border>
      <left style="thick">
        <color theme="0" tint="-0.24994659260841701"/>
      </left>
      <right/>
      <top style="thick">
        <color theme="0" tint="-0.24994659260841701"/>
      </top>
      <bottom style="thin">
        <color theme="0" tint="-0.14996795556505021"/>
      </bottom>
      <diagonal/>
    </border>
    <border>
      <left style="thick">
        <color theme="0" tint="-0.24994659260841701"/>
      </left>
      <right/>
      <top style="thin">
        <color theme="0" tint="-0.14996795556505021"/>
      </top>
      <bottom style="thin">
        <color theme="0" tint="-0.14996795556505021"/>
      </bottom>
      <diagonal/>
    </border>
    <border>
      <left style="thick">
        <color theme="0" tint="-0.24994659260841701"/>
      </left>
      <right/>
      <top style="thin">
        <color theme="0" tint="-0.14996795556505021"/>
      </top>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style="thin">
        <color theme="0" tint="-0.14996795556505021"/>
      </right>
      <top style="thin">
        <color theme="0" tint="-0.14996795556505021"/>
      </top>
      <bottom style="thick">
        <color theme="0" tint="-0.24994659260841701"/>
      </bottom>
      <diagonal/>
    </border>
    <border>
      <left style="thin">
        <color theme="0" tint="-0.14996795556505021"/>
      </left>
      <right style="thin">
        <color theme="0" tint="-0.14996795556505021"/>
      </right>
      <top style="thin">
        <color theme="0" tint="-0.14996795556505021"/>
      </top>
      <bottom style="thick">
        <color theme="0" tint="-0.24994659260841701"/>
      </bottom>
      <diagonal/>
    </border>
    <border>
      <left style="thin">
        <color theme="0" tint="-0.14996795556505021"/>
      </left>
      <right style="thick">
        <color theme="0" tint="-0.24994659260841701"/>
      </right>
      <top style="thin">
        <color theme="0" tint="-0.14996795556505021"/>
      </top>
      <bottom style="thick">
        <color theme="0" tint="-0.24994659260841701"/>
      </bottom>
      <diagonal/>
    </border>
    <border>
      <left style="thick">
        <color theme="0" tint="-0.24994659260841701"/>
      </left>
      <right/>
      <top/>
      <bottom style="thin">
        <color theme="0" tint="-0.14996795556505021"/>
      </bottom>
      <diagonal/>
    </border>
    <border>
      <left style="thick">
        <color theme="0" tint="-0.24994659260841701"/>
      </left>
      <right style="thin">
        <color theme="0" tint="-0.14996795556505021"/>
      </right>
      <top/>
      <bottom style="thin">
        <color theme="0" tint="-0.14996795556505021"/>
      </bottom>
      <diagonal/>
    </border>
    <border>
      <left style="thin">
        <color theme="0" tint="-0.14996795556505021"/>
      </left>
      <right style="thick">
        <color theme="0" tint="-0.24994659260841701"/>
      </right>
      <top/>
      <bottom style="thin">
        <color theme="0" tint="-0.14996795556505021"/>
      </bottom>
      <diagonal/>
    </border>
    <border>
      <left/>
      <right/>
      <top/>
      <bottom style="thin">
        <color theme="0" tint="-0.14996795556505021"/>
      </bottom>
      <diagonal/>
    </border>
    <border>
      <left style="thick">
        <color theme="0" tint="-0.24994659260841701"/>
      </left>
      <right/>
      <top style="thin">
        <color theme="0" tint="-0.14996795556505021"/>
      </top>
      <bottom style="thick">
        <color theme="0" tint="-0.24994659260841701"/>
      </bottom>
      <diagonal/>
    </border>
    <border>
      <left/>
      <right/>
      <top style="thin">
        <color theme="0" tint="-0.14996795556505021"/>
      </top>
      <bottom style="thick">
        <color theme="0" tint="-0.24994659260841701"/>
      </bottom>
      <diagonal/>
    </border>
    <border>
      <left style="thin">
        <color theme="0" tint="-0.14996795556505021"/>
      </left>
      <right style="thin">
        <color theme="0" tint="-0.14996795556505021"/>
      </right>
      <top style="thin">
        <color theme="0" tint="-0.14996795556505021"/>
      </top>
      <bottom/>
      <diagonal/>
    </border>
  </borders>
  <cellStyleXfs count="2">
    <xf numFmtId="0" fontId="0" fillId="0" borderId="0"/>
    <xf numFmtId="9" fontId="3" fillId="0" borderId="0" applyFont="0" applyFill="0" applyBorder="0" applyAlignment="0" applyProtection="0"/>
  </cellStyleXfs>
  <cellXfs count="87">
    <xf numFmtId="0" fontId="0" fillId="0" borderId="0" xfId="0"/>
    <xf numFmtId="0" fontId="1" fillId="3" borderId="0" xfId="0" applyFont="1" applyFill="1"/>
    <xf numFmtId="0" fontId="0" fillId="3" borderId="0" xfId="0" applyFill="1" applyAlignment="1">
      <alignment horizontal="left"/>
    </xf>
    <xf numFmtId="0" fontId="0" fillId="3" borderId="0" xfId="0" applyFill="1"/>
    <xf numFmtId="0" fontId="0" fillId="3" borderId="0" xfId="0" applyFont="1" applyFill="1"/>
    <xf numFmtId="0" fontId="1" fillId="3" borderId="0" xfId="0" applyFont="1" applyFill="1" applyAlignment="1">
      <alignment horizontal="left"/>
    </xf>
    <xf numFmtId="2" fontId="0" fillId="3" borderId="0" xfId="0" applyNumberFormat="1" applyFill="1"/>
    <xf numFmtId="0" fontId="0" fillId="3" borderId="0" xfId="0" applyFill="1" applyProtection="1">
      <protection hidden="1"/>
    </xf>
    <xf numFmtId="0" fontId="1" fillId="3" borderId="0" xfId="0" applyFont="1" applyFill="1" applyProtection="1">
      <protection hidden="1"/>
    </xf>
    <xf numFmtId="0" fontId="0" fillId="3" borderId="0" xfId="0" applyFont="1" applyFill="1" applyProtection="1">
      <protection hidden="1"/>
    </xf>
    <xf numFmtId="0" fontId="0" fillId="3" borderId="0" xfId="0" applyFill="1" applyAlignment="1" applyProtection="1">
      <alignment horizontal="left"/>
      <protection hidden="1"/>
    </xf>
    <xf numFmtId="2" fontId="0" fillId="3" borderId="0" xfId="0" applyNumberFormat="1" applyFill="1" applyAlignment="1" applyProtection="1">
      <alignment horizontal="left"/>
      <protection hidden="1"/>
    </xf>
    <xf numFmtId="9" fontId="0" fillId="3" borderId="0" xfId="1" applyNumberFormat="1" applyFont="1" applyFill="1" applyAlignment="1" applyProtection="1">
      <alignment horizontal="left"/>
      <protection hidden="1"/>
    </xf>
    <xf numFmtId="0" fontId="1" fillId="3" borderId="0" xfId="0" applyFont="1" applyFill="1" applyAlignment="1" applyProtection="1">
      <alignment horizontal="left"/>
      <protection hidden="1"/>
    </xf>
    <xf numFmtId="164" fontId="0" fillId="3" borderId="0" xfId="0" applyNumberFormat="1" applyFill="1" applyProtection="1">
      <protection hidden="1"/>
    </xf>
    <xf numFmtId="164" fontId="0" fillId="3" borderId="0" xfId="0" applyNumberFormat="1" applyFill="1" applyAlignment="1" applyProtection="1">
      <alignment horizontal="center" vertical="center"/>
      <protection hidden="1"/>
    </xf>
    <xf numFmtId="1" fontId="0" fillId="2" borderId="0" xfId="0" applyNumberFormat="1" applyFill="1" applyAlignment="1" applyProtection="1">
      <alignment horizontal="left"/>
      <protection locked="0" hidden="1"/>
    </xf>
    <xf numFmtId="2" fontId="0" fillId="2" borderId="0" xfId="0" applyNumberFormat="1" applyFill="1" applyAlignment="1" applyProtection="1">
      <alignment horizontal="left"/>
      <protection locked="0" hidden="1"/>
    </xf>
    <xf numFmtId="166" fontId="0" fillId="2" borderId="0" xfId="1" applyNumberFormat="1" applyFont="1" applyFill="1" applyAlignment="1" applyProtection="1">
      <alignment horizontal="left"/>
      <protection locked="0" hidden="1"/>
    </xf>
    <xf numFmtId="9" fontId="0" fillId="2" borderId="0" xfId="1" applyNumberFormat="1" applyFont="1" applyFill="1" applyAlignment="1" applyProtection="1">
      <alignment horizontal="left"/>
      <protection locked="0" hidden="1"/>
    </xf>
    <xf numFmtId="164" fontId="0" fillId="2" borderId="0" xfId="0" applyNumberFormat="1" applyFill="1" applyAlignment="1" applyProtection="1">
      <alignment horizontal="center" vertical="center"/>
      <protection locked="0" hidden="1"/>
    </xf>
    <xf numFmtId="0" fontId="1" fillId="3" borderId="14" xfId="0" applyFont="1" applyFill="1" applyBorder="1"/>
    <xf numFmtId="0" fontId="5" fillId="3" borderId="0" xfId="0" applyFont="1" applyFill="1"/>
    <xf numFmtId="0" fontId="6" fillId="3" borderId="0" xfId="0" applyFont="1" applyFill="1"/>
    <xf numFmtId="0" fontId="1" fillId="3" borderId="18" xfId="0" applyFont="1" applyFill="1" applyBorder="1"/>
    <xf numFmtId="2" fontId="1" fillId="3" borderId="19" xfId="0" applyNumberFormat="1" applyFont="1" applyFill="1" applyBorder="1" applyAlignment="1">
      <alignment horizontal="left"/>
    </xf>
    <xf numFmtId="0" fontId="1" fillId="3" borderId="4" xfId="0" applyFont="1" applyFill="1" applyBorder="1"/>
    <xf numFmtId="0" fontId="1" fillId="3" borderId="5" xfId="0" applyFont="1" applyFill="1" applyBorder="1"/>
    <xf numFmtId="0" fontId="1" fillId="3" borderId="6" xfId="0" applyFont="1" applyFill="1" applyBorder="1"/>
    <xf numFmtId="0" fontId="0" fillId="3" borderId="7" xfId="0" applyFill="1" applyBorder="1" applyAlignment="1">
      <alignment horizontal="left"/>
    </xf>
    <xf numFmtId="0" fontId="7" fillId="3" borderId="0" xfId="0" applyFont="1" applyFill="1"/>
    <xf numFmtId="0" fontId="0" fillId="3" borderId="0" xfId="0" applyFill="1" applyProtection="1"/>
    <xf numFmtId="0" fontId="4" fillId="3" borderId="0" xfId="0" applyFont="1" applyFill="1" applyProtection="1"/>
    <xf numFmtId="0" fontId="0" fillId="3" borderId="11" xfId="0" applyFill="1" applyBorder="1" applyProtection="1"/>
    <xf numFmtId="0" fontId="0" fillId="3" borderId="15" xfId="0" applyFill="1" applyBorder="1" applyProtection="1"/>
    <xf numFmtId="0" fontId="1" fillId="3" borderId="27" xfId="0" applyFont="1" applyFill="1" applyBorder="1" applyProtection="1"/>
    <xf numFmtId="0" fontId="1" fillId="3" borderId="20" xfId="0" applyFont="1" applyFill="1" applyBorder="1" applyProtection="1"/>
    <xf numFmtId="0" fontId="1" fillId="3" borderId="22" xfId="0" applyFont="1" applyFill="1" applyBorder="1" applyProtection="1"/>
    <xf numFmtId="0" fontId="1" fillId="3" borderId="28" xfId="0" applyFont="1" applyFill="1" applyBorder="1" applyProtection="1"/>
    <xf numFmtId="0" fontId="1" fillId="3" borderId="20" xfId="0" applyFont="1" applyFill="1" applyBorder="1" applyAlignment="1" applyProtection="1">
      <alignment wrapText="1"/>
    </xf>
    <xf numFmtId="0" fontId="1" fillId="3" borderId="22" xfId="0" applyFont="1" applyFill="1" applyBorder="1" applyAlignment="1" applyProtection="1">
      <alignment wrapText="1"/>
    </xf>
    <xf numFmtId="0" fontId="1" fillId="3" borderId="0" xfId="0" applyFont="1" applyFill="1" applyProtection="1"/>
    <xf numFmtId="0" fontId="0" fillId="3" borderId="23" xfId="0" applyFont="1" applyFill="1" applyBorder="1" applyProtection="1"/>
    <xf numFmtId="165" fontId="0" fillId="3" borderId="24" xfId="0" applyNumberFormat="1" applyFill="1" applyBorder="1" applyAlignment="1" applyProtection="1">
      <alignment horizontal="center" vertical="center"/>
    </xf>
    <xf numFmtId="165" fontId="0" fillId="3" borderId="25" xfId="0" applyNumberFormat="1" applyFill="1" applyBorder="1" applyAlignment="1" applyProtection="1">
      <alignment horizontal="center" vertical="center"/>
    </xf>
    <xf numFmtId="0" fontId="0" fillId="3" borderId="26" xfId="0" applyFill="1" applyBorder="1" applyAlignment="1" applyProtection="1">
      <alignment horizontal="center" vertical="center"/>
    </xf>
    <xf numFmtId="165" fontId="0" fillId="3" borderId="26" xfId="0" applyNumberFormat="1" applyFill="1" applyBorder="1" applyAlignment="1" applyProtection="1">
      <alignment horizontal="center" vertical="center"/>
    </xf>
    <xf numFmtId="1" fontId="0" fillId="3" borderId="24" xfId="0" applyNumberFormat="1" applyFont="1" applyFill="1" applyBorder="1" applyAlignment="1" applyProtection="1">
      <alignment horizontal="center" vertical="center"/>
    </xf>
    <xf numFmtId="1" fontId="0" fillId="3" borderId="25" xfId="0" applyNumberFormat="1" applyFont="1" applyFill="1" applyBorder="1" applyAlignment="1" applyProtection="1">
      <alignment horizontal="center" vertical="center"/>
    </xf>
    <xf numFmtId="0" fontId="0" fillId="3" borderId="12" xfId="0" applyFont="1" applyFill="1" applyBorder="1" applyProtection="1"/>
    <xf numFmtId="165" fontId="0" fillId="3" borderId="7" xfId="0" applyNumberFormat="1" applyFill="1" applyBorder="1" applyAlignment="1" applyProtection="1">
      <alignment horizontal="center" vertical="center"/>
    </xf>
    <xf numFmtId="165" fontId="0" fillId="3" borderId="8" xfId="0" applyNumberFormat="1" applyFill="1" applyBorder="1" applyAlignment="1" applyProtection="1">
      <alignment horizontal="center" vertical="center"/>
    </xf>
    <xf numFmtId="0" fontId="0" fillId="3" borderId="16" xfId="0" applyFill="1" applyBorder="1" applyAlignment="1" applyProtection="1">
      <alignment horizontal="center" vertical="center"/>
    </xf>
    <xf numFmtId="165" fontId="0" fillId="3" borderId="16" xfId="0" applyNumberFormat="1" applyFill="1" applyBorder="1" applyAlignment="1" applyProtection="1">
      <alignment horizontal="center" vertical="center"/>
    </xf>
    <xf numFmtId="1" fontId="0" fillId="3" borderId="7" xfId="0" applyNumberFormat="1" applyFont="1" applyFill="1" applyBorder="1" applyAlignment="1" applyProtection="1">
      <alignment horizontal="center" vertical="center"/>
    </xf>
    <xf numFmtId="1" fontId="0" fillId="3" borderId="8" xfId="0" applyNumberFormat="1" applyFont="1" applyFill="1" applyBorder="1" applyAlignment="1" applyProtection="1">
      <alignment horizontal="center" vertical="center"/>
    </xf>
    <xf numFmtId="0" fontId="0" fillId="3" borderId="0" xfId="0" applyFont="1" applyFill="1" applyProtection="1"/>
    <xf numFmtId="0" fontId="0" fillId="3" borderId="13" xfId="0" applyFont="1" applyFill="1" applyBorder="1" applyProtection="1"/>
    <xf numFmtId="165" fontId="0" fillId="3" borderId="9" xfId="0" applyNumberFormat="1" applyFill="1" applyBorder="1" applyAlignment="1" applyProtection="1">
      <alignment horizontal="center" vertical="center"/>
    </xf>
    <xf numFmtId="165" fontId="0" fillId="3" borderId="10" xfId="0" applyNumberFormat="1" applyFill="1" applyBorder="1" applyAlignment="1" applyProtection="1">
      <alignment horizontal="center" vertical="center"/>
    </xf>
    <xf numFmtId="0" fontId="0" fillId="3" borderId="17" xfId="0" applyFill="1" applyBorder="1" applyAlignment="1" applyProtection="1">
      <alignment horizontal="center" vertical="center"/>
    </xf>
    <xf numFmtId="165" fontId="0" fillId="3" borderId="17" xfId="0" applyNumberFormat="1" applyFill="1" applyBorder="1" applyAlignment="1" applyProtection="1">
      <alignment horizontal="center" vertical="center"/>
    </xf>
    <xf numFmtId="1" fontId="0" fillId="3" borderId="9" xfId="0" applyNumberFormat="1" applyFont="1" applyFill="1" applyBorder="1" applyAlignment="1" applyProtection="1">
      <alignment horizontal="center" vertical="center"/>
    </xf>
    <xf numFmtId="1" fontId="0" fillId="3" borderId="10" xfId="0" applyNumberFormat="1" applyFont="1" applyFill="1" applyBorder="1" applyAlignment="1" applyProtection="1">
      <alignment horizontal="center" vertical="center"/>
    </xf>
    <xf numFmtId="0" fontId="1" fillId="3" borderId="14" xfId="0" applyFont="1" applyFill="1" applyBorder="1" applyProtection="1"/>
    <xf numFmtId="165" fontId="1" fillId="3" borderId="2" xfId="0" applyNumberFormat="1" applyFont="1" applyFill="1" applyBorder="1" applyAlignment="1" applyProtection="1">
      <alignment horizontal="center" vertical="center"/>
    </xf>
    <xf numFmtId="165" fontId="1" fillId="3" borderId="3" xfId="0" applyNumberFormat="1" applyFont="1" applyFill="1" applyBorder="1" applyAlignment="1" applyProtection="1">
      <alignment horizontal="center" vertical="center"/>
    </xf>
    <xf numFmtId="165" fontId="1" fillId="3" borderId="18" xfId="0" applyNumberFormat="1" applyFont="1" applyFill="1" applyBorder="1" applyAlignment="1" applyProtection="1">
      <alignment horizontal="center" vertical="center"/>
    </xf>
    <xf numFmtId="1" fontId="1" fillId="3" borderId="18" xfId="0" applyNumberFormat="1" applyFont="1" applyFill="1" applyBorder="1" applyAlignment="1" applyProtection="1">
      <alignment horizontal="center" vertical="center"/>
    </xf>
    <xf numFmtId="1" fontId="1" fillId="3" borderId="2" xfId="0" applyNumberFormat="1" applyFont="1" applyFill="1" applyBorder="1" applyAlignment="1" applyProtection="1">
      <alignment horizontal="center" vertical="center"/>
    </xf>
    <xf numFmtId="1" fontId="1" fillId="3" borderId="3" xfId="0" applyNumberFormat="1" applyFont="1" applyFill="1" applyBorder="1" applyAlignment="1" applyProtection="1">
      <alignment horizontal="center" vertical="center"/>
    </xf>
    <xf numFmtId="1" fontId="1" fillId="3" borderId="0" xfId="0" applyNumberFormat="1" applyFont="1" applyFill="1" applyProtection="1"/>
    <xf numFmtId="165" fontId="0" fillId="3" borderId="0" xfId="0" applyNumberFormat="1" applyFill="1" applyProtection="1"/>
    <xf numFmtId="0" fontId="0" fillId="2" borderId="0" xfId="0" applyFill="1" applyAlignment="1" applyProtection="1">
      <alignment horizontal="left"/>
      <protection locked="0"/>
    </xf>
    <xf numFmtId="2" fontId="0" fillId="2" borderId="0" xfId="0" applyNumberFormat="1" applyFill="1" applyAlignment="1" applyProtection="1">
      <alignment horizontal="left"/>
      <protection locked="0"/>
    </xf>
    <xf numFmtId="166" fontId="0" fillId="2" borderId="0" xfId="1" applyNumberFormat="1" applyFont="1" applyFill="1" applyAlignment="1" applyProtection="1">
      <alignment horizontal="left"/>
      <protection locked="0"/>
    </xf>
    <xf numFmtId="0" fontId="0" fillId="2" borderId="1"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10" xfId="0" applyFill="1" applyBorder="1" applyAlignment="1" applyProtection="1">
      <alignment horizontal="center"/>
      <protection locked="0"/>
    </xf>
    <xf numFmtId="2" fontId="7" fillId="3" borderId="0" xfId="0" applyNumberFormat="1" applyFont="1" applyFill="1"/>
    <xf numFmtId="0" fontId="1" fillId="3" borderId="4"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4" xfId="0" applyFont="1" applyFill="1" applyBorder="1" applyAlignment="1" applyProtection="1">
      <alignment horizontal="center" wrapText="1"/>
    </xf>
    <xf numFmtId="0" fontId="1" fillId="3" borderId="6" xfId="0" applyFont="1" applyFill="1" applyBorder="1" applyAlignment="1" applyProtection="1">
      <alignment horizontal="center" wrapText="1"/>
    </xf>
  </cellXfs>
  <cellStyles count="2">
    <cellStyle name="Procent" xfId="1" builtinId="5"/>
    <cellStyle name="Standaard" xfId="0" builtinId="0"/>
  </cellStyles>
  <dxfs count="12">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
      <fill>
        <patternFill>
          <bgColor rgb="FFFF0000"/>
        </patternFill>
      </fill>
    </dxf>
    <dxf>
      <fill>
        <patternFill>
          <bgColor theme="7"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4</xdr:col>
      <xdr:colOff>190500</xdr:colOff>
      <xdr:row>4</xdr:row>
      <xdr:rowOff>180975</xdr:rowOff>
    </xdr:to>
    <xdr:sp macro="" textlink="">
      <xdr:nvSpPr>
        <xdr:cNvPr id="2" name="Tekstvak 1">
          <a:extLst>
            <a:ext uri="{FF2B5EF4-FFF2-40B4-BE49-F238E27FC236}">
              <a16:creationId xmlns:a16="http://schemas.microsoft.com/office/drawing/2014/main" id="{4687AFFA-9C45-08F7-43E2-AD79C2D81D11}"/>
            </a:ext>
          </a:extLst>
        </xdr:cNvPr>
        <xdr:cNvSpPr txBox="1"/>
      </xdr:nvSpPr>
      <xdr:spPr>
        <a:xfrm>
          <a:off x="57150" y="47625"/>
          <a:ext cx="5438775" cy="895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vindt u de uitgangspunten die we hebben gebruikt voor de berekeningen van kosten en opbrengsten voor de referentiewoningen. Wilt u de resultaten met andere uitgangspunten bekijken dan kunt u de witte velden hieronder zelf aanpassen.</a:t>
          </a:r>
          <a:endParaRPr lang="nl-NL" sz="1100"/>
        </a:p>
      </xdr:txBody>
    </xdr:sp>
    <xdr:clientData/>
  </xdr:twoCellAnchor>
  <xdr:twoCellAnchor>
    <xdr:from>
      <xdr:col>0</xdr:col>
      <xdr:colOff>47625</xdr:colOff>
      <xdr:row>9</xdr:row>
      <xdr:rowOff>85725</xdr:rowOff>
    </xdr:from>
    <xdr:to>
      <xdr:col>4</xdr:col>
      <xdr:colOff>171450</xdr:colOff>
      <xdr:row>16</xdr:row>
      <xdr:rowOff>180975</xdr:rowOff>
    </xdr:to>
    <xdr:sp macro="" textlink="">
      <xdr:nvSpPr>
        <xdr:cNvPr id="3" name="Tekstvak 2">
          <a:extLst>
            <a:ext uri="{FF2B5EF4-FFF2-40B4-BE49-F238E27FC236}">
              <a16:creationId xmlns:a16="http://schemas.microsoft.com/office/drawing/2014/main" id="{C3050477-55E6-053E-164C-89A3E6BF0468}"/>
            </a:ext>
          </a:extLst>
        </xdr:cNvPr>
        <xdr:cNvSpPr txBox="1"/>
      </xdr:nvSpPr>
      <xdr:spPr>
        <a:xfrm>
          <a:off x="47625" y="2162175"/>
          <a:ext cx="5219700" cy="1504950"/>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graaddagen</a:t>
          </a:r>
        </a:p>
        <a:p>
          <a:r>
            <a:rPr lang="nl-NL" sz="1100" b="0"/>
            <a:t>Voor de berekening</a:t>
          </a:r>
          <a:r>
            <a:rPr lang="nl-NL" sz="1100" b="0" baseline="0"/>
            <a:t> van het warmteverlies maken we gebruik van graaddagen. Wij hebben gerekend met het gemiddeld aantal graaddagen per jaar over de afgelopen 10 jaar (oktober 2013 t/m september 2023) bij een binnentemperatuur van 18 graden. </a:t>
          </a:r>
        </a:p>
        <a:p>
          <a:r>
            <a:rPr lang="nl-NL" sz="1100" b="0" baseline="0"/>
            <a:t>We rekenen in deze tool met een vast aantal graaddagen voor en na de woningisolatie. In werkelijkheid is het aantal graaddagen voor een goed geïsoleerde woning lager omdat de woning warmte langer vasthoudt.</a:t>
          </a:r>
        </a:p>
        <a:p>
          <a:r>
            <a:rPr lang="nl-NL" sz="1100" b="0"/>
            <a:t>Meer over graaddagen leest u op https://www.mindergas.nl/degree_days_calculation.</a:t>
          </a:r>
        </a:p>
      </xdr:txBody>
    </xdr:sp>
    <xdr:clientData/>
  </xdr:twoCellAnchor>
  <xdr:twoCellAnchor>
    <xdr:from>
      <xdr:col>0</xdr:col>
      <xdr:colOff>38100</xdr:colOff>
      <xdr:row>22</xdr:row>
      <xdr:rowOff>66674</xdr:rowOff>
    </xdr:from>
    <xdr:to>
      <xdr:col>4</xdr:col>
      <xdr:colOff>95250</xdr:colOff>
      <xdr:row>31</xdr:row>
      <xdr:rowOff>57149</xdr:rowOff>
    </xdr:to>
    <xdr:sp macro="" textlink="">
      <xdr:nvSpPr>
        <xdr:cNvPr id="4" name="Tekstvak 3">
          <a:extLst>
            <a:ext uri="{FF2B5EF4-FFF2-40B4-BE49-F238E27FC236}">
              <a16:creationId xmlns:a16="http://schemas.microsoft.com/office/drawing/2014/main" id="{2133C6A9-BECE-F3C2-93C6-0DBB4F999016}"/>
            </a:ext>
          </a:extLst>
        </xdr:cNvPr>
        <xdr:cNvSpPr txBox="1"/>
      </xdr:nvSpPr>
      <xdr:spPr>
        <a:xfrm>
          <a:off x="38100" y="4752974"/>
          <a:ext cx="5362575" cy="1704975"/>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ventilatie</a:t>
          </a:r>
        </a:p>
        <a:p>
          <a:r>
            <a:rPr lang="nl-NL" sz="1100" b="0"/>
            <a:t>Met behulp van warmteterugwinning</a:t>
          </a:r>
          <a:r>
            <a:rPr lang="nl-NL" sz="1100" b="0" baseline="0"/>
            <a:t> kan het warmteverlies door ventilatie worden teruggebracht. Wij zijn in deze tool standaard uitgegaan van een warmteverlies in de woning van 17,5% door ventilatie en een rendement van de warmteterugwinning van 70% (decentrale wtw). Verder hebben we de aanname gedaan dat alleen de begane grond voorzien wordt van een decentrale wtw en dat op de bovenverdieping de roosters behouden blijven. Het aandeel begane grond berekenen we standaard door het vloeroppervlak van de benedenverdieping te delen door het totale vloeroppervlak. U kunt deze uitgangspunten zelf aanpassen (zie tabbladen Invoer).</a:t>
          </a:r>
          <a:endParaRPr lang="nl-NL" sz="1100" b="0"/>
        </a:p>
      </xdr:txBody>
    </xdr:sp>
    <xdr:clientData/>
  </xdr:twoCellAnchor>
  <xdr:twoCellAnchor>
    <xdr:from>
      <xdr:col>0</xdr:col>
      <xdr:colOff>38101</xdr:colOff>
      <xdr:row>45</xdr:row>
      <xdr:rowOff>57149</xdr:rowOff>
    </xdr:from>
    <xdr:to>
      <xdr:col>4</xdr:col>
      <xdr:colOff>57150</xdr:colOff>
      <xdr:row>54</xdr:row>
      <xdr:rowOff>142875</xdr:rowOff>
    </xdr:to>
    <xdr:sp macro="" textlink="">
      <xdr:nvSpPr>
        <xdr:cNvPr id="5" name="Tekstvak 4">
          <a:extLst>
            <a:ext uri="{FF2B5EF4-FFF2-40B4-BE49-F238E27FC236}">
              <a16:creationId xmlns:a16="http://schemas.microsoft.com/office/drawing/2014/main" id="{0C5437E3-A9B6-928E-AC32-8179605F1380}"/>
            </a:ext>
          </a:extLst>
        </xdr:cNvPr>
        <xdr:cNvSpPr txBox="1"/>
      </xdr:nvSpPr>
      <xdr:spPr>
        <a:xfrm>
          <a:off x="38101" y="9124949"/>
          <a:ext cx="5324474" cy="1800226"/>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a:solidFill>
                <a:schemeClr val="dk1"/>
              </a:solidFill>
              <a:effectLst/>
              <a:latin typeface="+mn-lt"/>
              <a:ea typeface="+mn-ea"/>
              <a:cs typeface="+mn-cs"/>
            </a:rPr>
            <a:t>Toelichting kosten</a:t>
          </a:r>
        </a:p>
        <a:p>
          <a:r>
            <a:rPr lang="nl-NL" sz="1100" b="0" i="0">
              <a:solidFill>
                <a:schemeClr val="dk1"/>
              </a:solidFill>
              <a:effectLst/>
              <a:latin typeface="+mn-lt"/>
              <a:ea typeface="+mn-ea"/>
              <a:cs typeface="+mn-cs"/>
            </a:rPr>
            <a:t>Bovenstaande</a:t>
          </a:r>
          <a:r>
            <a:rPr lang="nl-NL" sz="1100" b="0" i="0" baseline="0">
              <a:solidFill>
                <a:schemeClr val="dk1"/>
              </a:solidFill>
              <a:effectLst/>
              <a:latin typeface="+mn-lt"/>
              <a:ea typeface="+mn-ea"/>
              <a:cs typeface="+mn-cs"/>
            </a:rPr>
            <a:t> </a:t>
          </a:r>
          <a:r>
            <a:rPr lang="nl-NL" sz="1100" b="0" i="0">
              <a:solidFill>
                <a:schemeClr val="dk1"/>
              </a:solidFill>
              <a:effectLst/>
              <a:latin typeface="+mn-lt"/>
              <a:ea typeface="+mn-ea"/>
              <a:cs typeface="+mn-cs"/>
            </a:rPr>
            <a:t>bedragen komen van de website van MilieuCentraal (januari 2024) of van de site van RVO (kostenkengetallen 2023). Kijk op deze sites voor de meest actuele bedragen. </a:t>
          </a:r>
        </a:p>
        <a:p>
          <a:r>
            <a:rPr lang="nl-NL" sz="1100" b="0" i="0">
              <a:solidFill>
                <a:schemeClr val="dk1"/>
              </a:solidFill>
              <a:effectLst/>
              <a:latin typeface="+mn-lt"/>
              <a:ea typeface="+mn-ea"/>
              <a:cs typeface="+mn-cs"/>
            </a:rPr>
            <a:t>Als u de</a:t>
          </a:r>
          <a:r>
            <a:rPr lang="nl-NL" sz="1100" b="0" i="0" baseline="0">
              <a:solidFill>
                <a:schemeClr val="dk1"/>
              </a:solidFill>
              <a:effectLst/>
              <a:latin typeface="+mn-lt"/>
              <a:ea typeface="+mn-ea"/>
              <a:cs typeface="+mn-cs"/>
            </a:rPr>
            <a:t> werkzaamheden door doe-het-zelvers uitgevoerd kunnen worden (kierdichting, dak en vloer) zijn de minimum bedragen gebaseerd op materiaalkosten. De maximumbedragen gaan er altijd van uit dat u de werkzaamheden laat uitvoeren.</a:t>
          </a:r>
        </a:p>
        <a:p>
          <a:r>
            <a:rPr lang="nl-NL" sz="1100" b="0" i="0" baseline="0">
              <a:solidFill>
                <a:schemeClr val="dk1"/>
              </a:solidFill>
              <a:effectLst/>
              <a:latin typeface="+mn-lt"/>
              <a:ea typeface="+mn-ea"/>
              <a:cs typeface="+mn-cs"/>
            </a:rPr>
            <a:t>Voor de ventilatie zijn we uitgegaan van een decentrale WTW op de begane grond.</a:t>
          </a:r>
          <a:endParaRPr lang="nl-NL" sz="1100" b="0" i="0">
            <a:solidFill>
              <a:schemeClr val="dk1"/>
            </a:solidFill>
            <a:effectLst/>
            <a:latin typeface="+mn-lt"/>
            <a:ea typeface="+mn-ea"/>
            <a:cs typeface="+mn-cs"/>
          </a:endParaRPr>
        </a:p>
        <a:p>
          <a:r>
            <a:rPr lang="nl-NL" sz="1100" b="0" i="0">
              <a:solidFill>
                <a:schemeClr val="dk1"/>
              </a:solidFill>
              <a:effectLst/>
              <a:latin typeface="+mn-lt"/>
              <a:ea typeface="+mn-ea"/>
              <a:cs typeface="+mn-cs"/>
            </a:rPr>
            <a:t>Let op: De bedragen zijn gemiddelden: in uw situatie kunnen de kosten daarom best flink hoger of lager uitvallen. Dat heeft te maken met uw woning. </a:t>
          </a:r>
          <a:endParaRPr lang="nl-NL" sz="1100"/>
        </a:p>
      </xdr:txBody>
    </xdr:sp>
    <xdr:clientData/>
  </xdr:twoCellAnchor>
  <xdr:twoCellAnchor>
    <xdr:from>
      <xdr:col>0</xdr:col>
      <xdr:colOff>38100</xdr:colOff>
      <xdr:row>67</xdr:row>
      <xdr:rowOff>66675</xdr:rowOff>
    </xdr:from>
    <xdr:to>
      <xdr:col>4</xdr:col>
      <xdr:colOff>0</xdr:colOff>
      <xdr:row>80</xdr:row>
      <xdr:rowOff>9525</xdr:rowOff>
    </xdr:to>
    <xdr:sp macro="" textlink="">
      <xdr:nvSpPr>
        <xdr:cNvPr id="6" name="Tekstvak 5">
          <a:extLst>
            <a:ext uri="{FF2B5EF4-FFF2-40B4-BE49-F238E27FC236}">
              <a16:creationId xmlns:a16="http://schemas.microsoft.com/office/drawing/2014/main" id="{E98A19D9-6988-D608-E64B-3CE65A078F56}"/>
            </a:ext>
          </a:extLst>
        </xdr:cNvPr>
        <xdr:cNvSpPr txBox="1"/>
      </xdr:nvSpPr>
      <xdr:spPr>
        <a:xfrm>
          <a:off x="38100" y="13134975"/>
          <a:ext cx="5267325" cy="2419350"/>
        </a:xfrm>
        <a:prstGeom prst="rect">
          <a:avLst/>
        </a:prstGeom>
        <a:solidFill>
          <a:schemeClr val="lt1"/>
        </a:solidFill>
        <a:ln w="381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r>
            <a:rPr lang="nl-NL" sz="1100" b="1" baseline="0"/>
            <a:t> subsidie (ISDE)</a:t>
          </a:r>
        </a:p>
        <a:p>
          <a:r>
            <a:rPr lang="nl-NL" sz="1100" baseline="0"/>
            <a:t>Op isolatiewerkzaamheden kunt u vaak subsidie krijgen vanuit het Rijk via de RVO. Bovenstaande subsdieibedragen zijn de bedragen voor 2024. </a:t>
          </a:r>
        </a:p>
        <a:p>
          <a:r>
            <a:rPr lang="nl-NL" sz="1100" baseline="0"/>
            <a:t>Als u twee maatregelen neemt binnen 24 maanden krijgt u dubbele subsidie (maximale bedragen). Bij één maatregel krijgt u het minimale bedrag.</a:t>
          </a:r>
        </a:p>
        <a:p>
          <a:r>
            <a:rPr lang="nl-NL" sz="1100" baseline="0"/>
            <a:t>U kunt voor ieder soort maatregel één keer subsidie krijgen per woning. Gevelpanelen, deuren en ramen zijn samen één maatregel. En dat geldt ook voor dak hellend en dak plat.</a:t>
          </a:r>
        </a:p>
        <a:p>
          <a:r>
            <a:rPr lang="nl-NL" sz="1100" baseline="0"/>
            <a:t>Let op: Aan de subsidie hangen voorwaarden. De belangrijkste zijn dat de isolatie moet voldoen aan een minimale oppervlakte en isolatiewaarde. In deze tool checken we niet of deze waarden gehaald worden.</a:t>
          </a:r>
        </a:p>
        <a:p>
          <a:r>
            <a:rPr lang="nl-NL" sz="1100" baseline="0"/>
            <a:t>Meer over de subsidie leest u op: https://www.rvo.nl/subsidies-financiering/isde/woningeigenaren/isolatiemaatregelen.</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85725</xdr:rowOff>
    </xdr:from>
    <xdr:to>
      <xdr:col>6</xdr:col>
      <xdr:colOff>495300</xdr:colOff>
      <xdr:row>5</xdr:row>
      <xdr:rowOff>9525</xdr:rowOff>
    </xdr:to>
    <xdr:sp macro="" textlink="">
      <xdr:nvSpPr>
        <xdr:cNvPr id="2" name="Tekstvak 1">
          <a:extLst>
            <a:ext uri="{FF2B5EF4-FFF2-40B4-BE49-F238E27FC236}">
              <a16:creationId xmlns:a16="http://schemas.microsoft.com/office/drawing/2014/main" id="{CE0C3DA5-8C49-4D57-82A0-16280BBBB267}"/>
            </a:ext>
          </a:extLst>
        </xdr:cNvPr>
        <xdr:cNvSpPr txBox="1"/>
      </xdr:nvSpPr>
      <xdr:spPr>
        <a:xfrm>
          <a:off x="76200" y="85725"/>
          <a:ext cx="6334125" cy="87630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b="0"/>
            <a:t>Op dit blad vindt u hulpmiddelen om u te helpen bepaalde berekeningen te maken, zoals het uitrekenen van het gewogen gemiddelde.</a:t>
          </a:r>
        </a:p>
        <a:p>
          <a:r>
            <a:rPr lang="nl-NL" sz="1100" b="0"/>
            <a:t>U vult</a:t>
          </a:r>
          <a:r>
            <a:rPr lang="nl-NL" sz="1100" b="0" baseline="0"/>
            <a:t> de witte velden in.</a:t>
          </a:r>
          <a:endParaRPr lang="nl-NL" sz="1100" b="0"/>
        </a:p>
      </xdr:txBody>
    </xdr:sp>
    <xdr:clientData/>
  </xdr:twoCellAnchor>
  <xdr:twoCellAnchor>
    <xdr:from>
      <xdr:col>0</xdr:col>
      <xdr:colOff>57150</xdr:colOff>
      <xdr:row>23</xdr:row>
      <xdr:rowOff>142875</xdr:rowOff>
    </xdr:from>
    <xdr:to>
      <xdr:col>6</xdr:col>
      <xdr:colOff>476250</xdr:colOff>
      <xdr:row>29</xdr:row>
      <xdr:rowOff>161926</xdr:rowOff>
    </xdr:to>
    <xdr:sp macro="" textlink="">
      <xdr:nvSpPr>
        <xdr:cNvPr id="3" name="Tekstvak 2">
          <a:extLst>
            <a:ext uri="{FF2B5EF4-FFF2-40B4-BE49-F238E27FC236}">
              <a16:creationId xmlns:a16="http://schemas.microsoft.com/office/drawing/2014/main" id="{E1583E51-60B8-49FF-91E9-73498DD4505B}"/>
            </a:ext>
          </a:extLst>
        </xdr:cNvPr>
        <xdr:cNvSpPr txBox="1"/>
      </xdr:nvSpPr>
      <xdr:spPr>
        <a:xfrm>
          <a:off x="57150" y="4048125"/>
          <a:ext cx="6334125" cy="117157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t>Toelichting gewogen gemiddelde</a:t>
          </a:r>
          <a:r>
            <a:rPr lang="nl-NL" sz="1050" b="1" baseline="0"/>
            <a:t> Rc-waarde</a:t>
          </a:r>
        </a:p>
        <a:p>
          <a:r>
            <a:rPr lang="nl-NL" sz="1050" b="0" baseline="0"/>
            <a:t>Om het gewogen gemiddelde op basis van Rc-waarde te berekenen voert u hierboven per onderdeel de oppervlakte en isolatiewaarde in.</a:t>
          </a:r>
        </a:p>
        <a:p>
          <a:r>
            <a:rPr lang="nl-NL" sz="1050" b="0" baseline="0"/>
            <a:t>Voorbeeld: U heeft twee dakvlakken, één van 20 m2 per een Rc-waarde van 2 en één van 50 m2 met een Rc-waarde van 2,5. U voert deze waarden in achter onderdeel 1 en 2.  In cel C20 ziet u dan het gewogen gemiddelde van 2,36. Deze waarde kunt u overnemen op het tabblad Invoer.</a:t>
          </a:r>
          <a:endParaRPr lang="nl-NL" sz="1050" b="0"/>
        </a:p>
      </xdr:txBody>
    </xdr:sp>
    <xdr:clientData/>
  </xdr:twoCellAnchor>
  <xdr:twoCellAnchor>
    <xdr:from>
      <xdr:col>0</xdr:col>
      <xdr:colOff>57150</xdr:colOff>
      <xdr:row>48</xdr:row>
      <xdr:rowOff>142875</xdr:rowOff>
    </xdr:from>
    <xdr:to>
      <xdr:col>6</xdr:col>
      <xdr:colOff>476250</xdr:colOff>
      <xdr:row>54</xdr:row>
      <xdr:rowOff>161926</xdr:rowOff>
    </xdr:to>
    <xdr:sp macro="" textlink="">
      <xdr:nvSpPr>
        <xdr:cNvPr id="4" name="Tekstvak 3">
          <a:extLst>
            <a:ext uri="{FF2B5EF4-FFF2-40B4-BE49-F238E27FC236}">
              <a16:creationId xmlns:a16="http://schemas.microsoft.com/office/drawing/2014/main" id="{51730BE3-1C4A-4A9D-ABE2-714C72B5BFB7}"/>
            </a:ext>
          </a:extLst>
        </xdr:cNvPr>
        <xdr:cNvSpPr txBox="1"/>
      </xdr:nvSpPr>
      <xdr:spPr>
        <a:xfrm>
          <a:off x="57150" y="4048125"/>
          <a:ext cx="6334125" cy="117157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t>Toelichting gewogen gemiddelde</a:t>
          </a:r>
          <a:r>
            <a:rPr lang="nl-NL" sz="1050" b="1" baseline="0"/>
            <a:t> U-waarde</a:t>
          </a:r>
        </a:p>
        <a:p>
          <a:r>
            <a:rPr lang="nl-NL" sz="1050" b="0" baseline="0"/>
            <a:t>Om het gewogen gemiddelde op basis van Rc-waarde te berekenen voert u hierboven per onderdeel de oppervlakte en isolatiewaarde in.</a:t>
          </a:r>
        </a:p>
        <a:p>
          <a:r>
            <a:rPr lang="nl-NL" sz="1050" b="0" baseline="0"/>
            <a:t>Voorbeeld: U heeft twee ramen, één van 3 m2 per een U-waarde van 2,9 (dubbelglas) en één van 1 m2 met een U-waarde van 1,1 (HR++-glas). U voert deze waarden in achter onderdeel 1 en 2.  In cel C42 ziet u dan het gewogen gemiddelde van 2,36. Deze waarde kunt u overnemen op het tabblad Invoer.</a:t>
          </a:r>
          <a:endParaRPr lang="nl-NL" sz="105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38099</xdr:rowOff>
    </xdr:from>
    <xdr:to>
      <xdr:col>5</xdr:col>
      <xdr:colOff>142875</xdr:colOff>
      <xdr:row>5</xdr:row>
      <xdr:rowOff>85724</xdr:rowOff>
    </xdr:to>
    <xdr:sp macro="" textlink="">
      <xdr:nvSpPr>
        <xdr:cNvPr id="2" name="Tekstvak 1">
          <a:extLst>
            <a:ext uri="{FF2B5EF4-FFF2-40B4-BE49-F238E27FC236}">
              <a16:creationId xmlns:a16="http://schemas.microsoft.com/office/drawing/2014/main" id="{E079EB8C-8FFA-47F0-9ED9-2043034C51EA}"/>
            </a:ext>
          </a:extLst>
        </xdr:cNvPr>
        <xdr:cNvSpPr txBox="1"/>
      </xdr:nvSpPr>
      <xdr:spPr>
        <a:xfrm>
          <a:off x="47625" y="38099"/>
          <a:ext cx="5438775" cy="10001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voert u de gegevens van de woning in waarvoor u een indicatie wilt hebben van de kosten en opbrengsten van isolerende maatregelen. </a:t>
          </a:r>
        </a:p>
        <a:p>
          <a:r>
            <a:rPr lang="nl-NL" sz="1100" baseline="0"/>
            <a:t>U vult de witte velden hieronder in op basis van het rapport van uw energielabel (na 01-01-2021) en de verwachte aanpassingen aan uw woning.</a:t>
          </a:r>
          <a:endParaRPr lang="nl-NL" sz="1100"/>
        </a:p>
      </xdr:txBody>
    </xdr:sp>
    <xdr:clientData/>
  </xdr:twoCellAnchor>
  <xdr:twoCellAnchor>
    <xdr:from>
      <xdr:col>0</xdr:col>
      <xdr:colOff>47625</xdr:colOff>
      <xdr:row>13</xdr:row>
      <xdr:rowOff>66674</xdr:rowOff>
    </xdr:from>
    <xdr:to>
      <xdr:col>5</xdr:col>
      <xdr:colOff>142875</xdr:colOff>
      <xdr:row>18</xdr:row>
      <xdr:rowOff>104775</xdr:rowOff>
    </xdr:to>
    <xdr:sp macro="" textlink="">
      <xdr:nvSpPr>
        <xdr:cNvPr id="3" name="Tekstvak 2">
          <a:extLst>
            <a:ext uri="{FF2B5EF4-FFF2-40B4-BE49-F238E27FC236}">
              <a16:creationId xmlns:a16="http://schemas.microsoft.com/office/drawing/2014/main" id="{15806039-1491-47BE-8965-BC07F9762773}"/>
            </a:ext>
          </a:extLst>
        </xdr:cNvPr>
        <xdr:cNvSpPr txBox="1"/>
      </xdr:nvSpPr>
      <xdr:spPr>
        <a:xfrm>
          <a:off x="47625" y="2543174"/>
          <a:ext cx="5438775" cy="990601"/>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compactheid</a:t>
          </a:r>
        </a:p>
        <a:p>
          <a:r>
            <a:rPr lang="nl-NL" sz="1100" b="0"/>
            <a:t>De compactheid van uw woning is de verhouding tussen de oppervlakte van uw woning en de oppervlakte van de schil van uw woning (verliesoppervlakte).</a:t>
          </a:r>
          <a:r>
            <a:rPr lang="nl-NL" sz="1100" b="0" baseline="0"/>
            <a:t> De waarde staat vermeld op uw energielabel. Let op: deze tool werkt alleen als de compactheid van uw woning groter dan 1 is.</a:t>
          </a:r>
          <a:endParaRPr lang="nl-NL" sz="1100" b="0"/>
        </a:p>
      </xdr:txBody>
    </xdr:sp>
    <xdr:clientData/>
  </xdr:twoCellAnchor>
  <xdr:twoCellAnchor>
    <xdr:from>
      <xdr:col>0</xdr:col>
      <xdr:colOff>28575</xdr:colOff>
      <xdr:row>25</xdr:row>
      <xdr:rowOff>47624</xdr:rowOff>
    </xdr:from>
    <xdr:to>
      <xdr:col>5</xdr:col>
      <xdr:colOff>123825</xdr:colOff>
      <xdr:row>41</xdr:row>
      <xdr:rowOff>104776</xdr:rowOff>
    </xdr:to>
    <xdr:sp macro="" textlink="">
      <xdr:nvSpPr>
        <xdr:cNvPr id="4" name="Tekstvak 3">
          <a:extLst>
            <a:ext uri="{FF2B5EF4-FFF2-40B4-BE49-F238E27FC236}">
              <a16:creationId xmlns:a16="http://schemas.microsoft.com/office/drawing/2014/main" id="{4A00DF15-27DD-4425-9906-8CC48482D9FF}"/>
            </a:ext>
          </a:extLst>
        </xdr:cNvPr>
        <xdr:cNvSpPr txBox="1"/>
      </xdr:nvSpPr>
      <xdr:spPr>
        <a:xfrm>
          <a:off x="28575" y="4810124"/>
          <a:ext cx="5438775" cy="3105152"/>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energiebehoefte</a:t>
          </a:r>
        </a:p>
        <a:p>
          <a:r>
            <a:rPr lang="nl-NL" sz="1100" b="0"/>
            <a:t>Het fossiel verbruikt en de warmtebehoefte van uw woning in de wintermaanden staat vermeld op uw energielabel. De</a:t>
          </a:r>
          <a:r>
            <a:rPr lang="nl-NL" sz="1100" b="0" baseline="0"/>
            <a:t> streefwaarden warmtebehoefte bij een hoge temperatuur (HT) en lage temperatuur (LT) berekenen we met de formules:</a:t>
          </a:r>
        </a:p>
        <a:p>
          <a:pPr fontAlgn="base"/>
          <a:endParaRPr lang="nl-NL" sz="1100" b="0" i="0">
            <a:solidFill>
              <a:schemeClr val="dk1"/>
            </a:solidFill>
            <a:effectLst/>
            <a:latin typeface="+mn-lt"/>
            <a:ea typeface="+mn-ea"/>
            <a:cs typeface="+mn-cs"/>
          </a:endParaRPr>
        </a:p>
        <a:p>
          <a:pPr fontAlgn="base"/>
          <a:r>
            <a:rPr lang="nl-NL" sz="1100" b="0" i="0">
              <a:solidFill>
                <a:schemeClr val="dk1"/>
              </a:solidFill>
              <a:effectLst/>
              <a:latin typeface="+mn-lt"/>
              <a:ea typeface="+mn-ea"/>
              <a:cs typeface="+mn-cs"/>
            </a:rPr>
            <a:t>Streefwaarde HT = 60 + 105 * (compactheid – 1)</a:t>
          </a:r>
        </a:p>
        <a:p>
          <a:pPr fontAlgn="base"/>
          <a:r>
            <a:rPr lang="nl-NL" sz="1100" b="0" i="0">
              <a:solidFill>
                <a:schemeClr val="dk1"/>
              </a:solidFill>
              <a:effectLst/>
              <a:latin typeface="+mn-lt"/>
              <a:ea typeface="+mn-ea"/>
              <a:cs typeface="+mn-cs"/>
            </a:rPr>
            <a:t>Streefwaarde LT = 43 + 40 * (compactheid -1)</a:t>
          </a:r>
        </a:p>
        <a:p>
          <a:pPr fontAlgn="base"/>
          <a:endParaRPr lang="nl-NL" sz="1100" b="0" i="0">
            <a:solidFill>
              <a:schemeClr val="dk1"/>
            </a:solidFill>
            <a:effectLst/>
            <a:latin typeface="+mn-lt"/>
            <a:ea typeface="+mn-ea"/>
            <a:cs typeface="+mn-cs"/>
          </a:endParaRPr>
        </a:p>
        <a:p>
          <a:r>
            <a:rPr lang="nl-NL" sz="1100" b="0"/>
            <a:t>Een</a:t>
          </a:r>
          <a:r>
            <a:rPr lang="nl-NL" sz="1100" b="0" baseline="0"/>
            <a:t> HT-systeem is - waarschijnlijk - uw huidige verwarmingssysteem van CV-ketel met radiatoren waar water doorheen gaat van 60 graden of meer. Om van het gas af te gaan heeft u bij een HT-systeem een warmtebron nodig die deze watertemperatuur kan blijven leveren. Dit kan bijvoorbeeld een warmtenet op hoge temperatuur zijn.</a:t>
          </a:r>
        </a:p>
        <a:p>
          <a:endParaRPr lang="nl-NL" sz="1100" b="0" baseline="0"/>
        </a:p>
        <a:p>
          <a:r>
            <a:rPr lang="nl-NL" sz="1100" b="0" baseline="0"/>
            <a:t>Bij goed geïsoleerde woningen (lagere streefwaarde) is het mogelijk het huis te verwarmen met lagere watertemperaturen (35 tot 50 graden). Het huis kan dan verwarmd worden door aan te sluiten op een warmtenet op lage temperatuur. Of u kunt een warmtepomp installeren om uw huis mee te verwarmen.</a:t>
          </a:r>
          <a:endParaRPr lang="nl-NL" sz="1100" b="0"/>
        </a:p>
      </xdr:txBody>
    </xdr:sp>
    <xdr:clientData/>
  </xdr:twoCellAnchor>
  <xdr:twoCellAnchor>
    <xdr:from>
      <xdr:col>0</xdr:col>
      <xdr:colOff>38100</xdr:colOff>
      <xdr:row>54</xdr:row>
      <xdr:rowOff>76199</xdr:rowOff>
    </xdr:from>
    <xdr:to>
      <xdr:col>5</xdr:col>
      <xdr:colOff>133350</xdr:colOff>
      <xdr:row>57</xdr:row>
      <xdr:rowOff>161925</xdr:rowOff>
    </xdr:to>
    <xdr:sp macro="" textlink="">
      <xdr:nvSpPr>
        <xdr:cNvPr id="5" name="Tekstvak 4">
          <a:extLst>
            <a:ext uri="{FF2B5EF4-FFF2-40B4-BE49-F238E27FC236}">
              <a16:creationId xmlns:a16="http://schemas.microsoft.com/office/drawing/2014/main" id="{3A7FC0C1-F43C-4859-B011-209E49EF0E40}"/>
            </a:ext>
          </a:extLst>
        </xdr:cNvPr>
        <xdr:cNvSpPr txBox="1"/>
      </xdr:nvSpPr>
      <xdr:spPr>
        <a:xfrm>
          <a:off x="38100" y="10363199"/>
          <a:ext cx="5438775" cy="65722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oppervlakte bouwdelen</a:t>
          </a:r>
        </a:p>
        <a:p>
          <a:r>
            <a:rPr lang="nl-NL" sz="1100" b="0"/>
            <a:t>U voert hier</a:t>
          </a:r>
          <a:r>
            <a:rPr lang="nl-NL" sz="1100" b="0" baseline="0"/>
            <a:t> per bouwdeel het totaal aan vierkante meters in. Heeft u een onderdeel niet, zoals een tweede buitendeur of gevelpanelen, dan voert u 0 in. </a:t>
          </a:r>
          <a:endParaRPr lang="nl-NL" sz="1100" b="0"/>
        </a:p>
      </xdr:txBody>
    </xdr:sp>
    <xdr:clientData/>
  </xdr:twoCellAnchor>
  <xdr:twoCellAnchor>
    <xdr:from>
      <xdr:col>0</xdr:col>
      <xdr:colOff>28575</xdr:colOff>
      <xdr:row>71</xdr:row>
      <xdr:rowOff>57146</xdr:rowOff>
    </xdr:from>
    <xdr:to>
      <xdr:col>5</xdr:col>
      <xdr:colOff>123825</xdr:colOff>
      <xdr:row>87</xdr:row>
      <xdr:rowOff>190499</xdr:rowOff>
    </xdr:to>
    <xdr:sp macro="" textlink="">
      <xdr:nvSpPr>
        <xdr:cNvPr id="6" name="Tekstvak 5">
          <a:extLst>
            <a:ext uri="{FF2B5EF4-FFF2-40B4-BE49-F238E27FC236}">
              <a16:creationId xmlns:a16="http://schemas.microsoft.com/office/drawing/2014/main" id="{47C60B01-97D0-4E61-9AD9-4F5C611BA71B}"/>
            </a:ext>
          </a:extLst>
        </xdr:cNvPr>
        <xdr:cNvSpPr txBox="1"/>
      </xdr:nvSpPr>
      <xdr:spPr>
        <a:xfrm>
          <a:off x="28575" y="13582646"/>
          <a:ext cx="5438775" cy="3181353"/>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isolatiewaarden</a:t>
          </a:r>
        </a:p>
        <a:p>
          <a:r>
            <a:rPr lang="nl-NL" sz="1100" b="0"/>
            <a:t>In de kolom Huidig</a:t>
          </a:r>
          <a:r>
            <a:rPr lang="nl-NL" sz="1100" b="0" baseline="0"/>
            <a:t> voert u de huidige isolatiewaarden in. U vindt deze in het rapport van uw energielabel. Als een bouwdeel uit meerdere delen bestaat dan voert u het gewogen gemiddelde in. U kunt hiervoor het tabblad 'Rekenhulp' gebruiken.</a:t>
          </a:r>
        </a:p>
        <a:p>
          <a:endParaRPr lang="nl-NL" sz="1100" b="0" baseline="0"/>
        </a:p>
        <a:p>
          <a:r>
            <a:rPr lang="nl-NL" sz="1100" b="0" baseline="0"/>
            <a:t>In de kolom Verwacht/gewenst voert u in wat u verwacht of hoopt dat de isolatiewaarde zal zijn na uitvoering van de werkzaamheden. Om u te helpen staan de streefwaarden voor de verschillende bouwdelen in de kolom ernaast. Als u deze waarden haalt bent u zeker klaar om van het aardgas af te gaan en uw gehele woning op lage temperatuur te verwarmen.</a:t>
          </a:r>
        </a:p>
        <a:p>
          <a:endParaRPr lang="nl-NL" sz="1100" b="0" baseline="0"/>
        </a:p>
        <a:p>
          <a:r>
            <a:rPr lang="nl-NL" sz="1100" b="1" baseline="0"/>
            <a:t>Opmerking: </a:t>
          </a:r>
        </a:p>
        <a:p>
          <a:r>
            <a:rPr lang="nl-NL" sz="1100" b="0" baseline="0"/>
            <a:t>De streefwaarden zijn redelijk hoog en soms niet haalbaar in een bestaande woning. Na-isoleren van de spouw geeft bijvoorbeeld maximaal een Rc-waarde van 1,7. En bij dakisolatie bent u al goed bezig bij een Rc-waarde van 4,0. En gaat u uw glas vervangen dan is HR++-glas met een isolatiewaarden van 1,1 een prima alternatief voor triple-glas dat weliswaar een betere U-waarde heeft maar waarbij vaak ook alle kozijnen vervangen moeten worden. In de praktijk blijkt dat ook bij iets mindere isolatiewaarden u uw huis kunt verwarmen op lage temperatuur. Zeker als u vooral op de begane grond leeft.</a:t>
          </a:r>
          <a:endParaRPr lang="nl-NL"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28576</xdr:rowOff>
    </xdr:from>
    <xdr:to>
      <xdr:col>5</xdr:col>
      <xdr:colOff>76200</xdr:colOff>
      <xdr:row>10</xdr:row>
      <xdr:rowOff>66676</xdr:rowOff>
    </xdr:to>
    <xdr:sp macro="" textlink="">
      <xdr:nvSpPr>
        <xdr:cNvPr id="2" name="Tekstvak 1">
          <a:extLst>
            <a:ext uri="{FF2B5EF4-FFF2-40B4-BE49-F238E27FC236}">
              <a16:creationId xmlns:a16="http://schemas.microsoft.com/office/drawing/2014/main" id="{B5627CDE-B8C2-4DB5-8D61-5F8403A06CC2}"/>
            </a:ext>
          </a:extLst>
        </xdr:cNvPr>
        <xdr:cNvSpPr txBox="1"/>
      </xdr:nvSpPr>
      <xdr:spPr>
        <a:xfrm>
          <a:off x="47625" y="28576"/>
          <a:ext cx="5438775" cy="2038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ziet u wat de maatregelen globaal gaan kosten op basis van de ingevoerde uitgangspunten en gewenste isolatiewaarden. Ook ziet u hoe maatregelen ongeveer bijdragen aan het verminderen van de warmtebehoefte en of de streefwaarden met de plannen gehaald worden.</a:t>
          </a:r>
        </a:p>
        <a:p>
          <a:endParaRPr lang="nl-NL" sz="1100" baseline="0"/>
        </a:p>
        <a:p>
          <a:r>
            <a:rPr lang="nl-NL" sz="1100" baseline="0"/>
            <a:t>Let op: De resultaten geven een inidcatie maar zijn zeker geen exacte berekeningen. Er wordt bijvoorbeeld geen rekening gehouden met ander gedrag als gevolg van de verbeterde isolatie, andere zoninstraling, veranderingen in hoe de woning warmte vasthoudt, koudebruggen, etc. WIlt u een goede berekening hebben, laat dan een EPA-adviesrapport opstellen door een professional.</a:t>
          </a:r>
        </a:p>
        <a:p>
          <a:endParaRPr lang="nl-NL" sz="1100"/>
        </a:p>
      </xdr:txBody>
    </xdr:sp>
    <xdr:clientData/>
  </xdr:twoCellAnchor>
  <xdr:twoCellAnchor>
    <xdr:from>
      <xdr:col>0</xdr:col>
      <xdr:colOff>0</xdr:colOff>
      <xdr:row>32</xdr:row>
      <xdr:rowOff>0</xdr:rowOff>
    </xdr:from>
    <xdr:to>
      <xdr:col>5</xdr:col>
      <xdr:colOff>28575</xdr:colOff>
      <xdr:row>40</xdr:row>
      <xdr:rowOff>9525</xdr:rowOff>
    </xdr:to>
    <xdr:sp macro="" textlink="">
      <xdr:nvSpPr>
        <xdr:cNvPr id="3" name="Tekstvak 2">
          <a:extLst>
            <a:ext uri="{FF2B5EF4-FFF2-40B4-BE49-F238E27FC236}">
              <a16:creationId xmlns:a16="http://schemas.microsoft.com/office/drawing/2014/main" id="{11EACF08-F59C-4A4E-9EA4-E7CEF925EA76}"/>
            </a:ext>
          </a:extLst>
        </xdr:cNvPr>
        <xdr:cNvSpPr txBox="1"/>
      </xdr:nvSpPr>
      <xdr:spPr>
        <a:xfrm>
          <a:off x="0" y="6848475"/>
          <a:ext cx="5438775" cy="15335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warmtebehoefte</a:t>
          </a:r>
        </a:p>
        <a:p>
          <a:r>
            <a:rPr lang="nl-NL" sz="1100"/>
            <a:t>Als de waarde</a:t>
          </a:r>
          <a:r>
            <a:rPr lang="nl-NL" sz="1100" baseline="0"/>
            <a:t> van de theoretische nieuwe warmtebehoefte lager is dan de streefwaardevoor een verwarming op hoge (HT) of lage (LT) temperatuur, dan is uw woning geschikt om van het aardgas af te gaan.</a:t>
          </a:r>
        </a:p>
        <a:p>
          <a:endParaRPr lang="nl-NL" sz="1100" baseline="0"/>
        </a:p>
        <a:p>
          <a:r>
            <a:rPr lang="nl-NL" sz="1100" baseline="0"/>
            <a:t>Bij HT-verwarming kunt u denken aan aansluiting op een hoog temperatuur warmtenet (indien aanwezig). Bij LT-verwarming kunt u bijvoorbeeld denken aan aansluiting op een laag temperatuur warmtenet (indien aanwezig) of een eigen warmtepomp.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38099</xdr:rowOff>
    </xdr:from>
    <xdr:to>
      <xdr:col>5</xdr:col>
      <xdr:colOff>142875</xdr:colOff>
      <xdr:row>5</xdr:row>
      <xdr:rowOff>85724</xdr:rowOff>
    </xdr:to>
    <xdr:sp macro="" textlink="">
      <xdr:nvSpPr>
        <xdr:cNvPr id="2" name="Tekstvak 1">
          <a:extLst>
            <a:ext uri="{FF2B5EF4-FFF2-40B4-BE49-F238E27FC236}">
              <a16:creationId xmlns:a16="http://schemas.microsoft.com/office/drawing/2014/main" id="{2A349774-9DA7-4630-AA64-07EA3DF426A9}"/>
            </a:ext>
          </a:extLst>
        </xdr:cNvPr>
        <xdr:cNvSpPr txBox="1"/>
      </xdr:nvSpPr>
      <xdr:spPr>
        <a:xfrm>
          <a:off x="47625" y="38099"/>
          <a:ext cx="5438775" cy="10001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voert u de gegevens van de woning in waarvoor u een indicatie wilt hebben van de kosten en opbrengsten van isolerende maatregelen. </a:t>
          </a:r>
        </a:p>
        <a:p>
          <a:r>
            <a:rPr lang="nl-NL" sz="1100" baseline="0"/>
            <a:t>U vult de witte velden hieronder in op basis van het rapport van uw energielabel (na 01-01-2021) en de verwachte aanpassingen aan uw woning.</a:t>
          </a:r>
          <a:endParaRPr lang="nl-NL" sz="1100"/>
        </a:p>
      </xdr:txBody>
    </xdr:sp>
    <xdr:clientData/>
  </xdr:twoCellAnchor>
  <xdr:twoCellAnchor>
    <xdr:from>
      <xdr:col>0</xdr:col>
      <xdr:colOff>47625</xdr:colOff>
      <xdr:row>13</xdr:row>
      <xdr:rowOff>66674</xdr:rowOff>
    </xdr:from>
    <xdr:to>
      <xdr:col>5</xdr:col>
      <xdr:colOff>142875</xdr:colOff>
      <xdr:row>18</xdr:row>
      <xdr:rowOff>104775</xdr:rowOff>
    </xdr:to>
    <xdr:sp macro="" textlink="">
      <xdr:nvSpPr>
        <xdr:cNvPr id="3" name="Tekstvak 2">
          <a:extLst>
            <a:ext uri="{FF2B5EF4-FFF2-40B4-BE49-F238E27FC236}">
              <a16:creationId xmlns:a16="http://schemas.microsoft.com/office/drawing/2014/main" id="{EB2C5011-91BE-466E-8C73-732869D381A3}"/>
            </a:ext>
          </a:extLst>
        </xdr:cNvPr>
        <xdr:cNvSpPr txBox="1"/>
      </xdr:nvSpPr>
      <xdr:spPr>
        <a:xfrm>
          <a:off x="47625" y="2543174"/>
          <a:ext cx="5438775" cy="990601"/>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compactheid</a:t>
          </a:r>
        </a:p>
        <a:p>
          <a:r>
            <a:rPr lang="nl-NL" sz="1100" b="0"/>
            <a:t>De compactheid van uw woning is de verhouding tussen de oppervlakte van uw woning en de oppervlakte van de schil van uw woning (verliesoppervlakte).</a:t>
          </a:r>
          <a:r>
            <a:rPr lang="nl-NL" sz="1100" b="0" baseline="0"/>
            <a:t> De waarde staat vermeld op uw energielabel. Let op: deze tool werkt alleen als de compactheid van uw woning groter dan 1 is.</a:t>
          </a:r>
          <a:endParaRPr lang="nl-NL" sz="1100" b="0"/>
        </a:p>
      </xdr:txBody>
    </xdr:sp>
    <xdr:clientData/>
  </xdr:twoCellAnchor>
  <xdr:twoCellAnchor>
    <xdr:from>
      <xdr:col>0</xdr:col>
      <xdr:colOff>28575</xdr:colOff>
      <xdr:row>25</xdr:row>
      <xdr:rowOff>47624</xdr:rowOff>
    </xdr:from>
    <xdr:to>
      <xdr:col>5</xdr:col>
      <xdr:colOff>123825</xdr:colOff>
      <xdr:row>41</xdr:row>
      <xdr:rowOff>104776</xdr:rowOff>
    </xdr:to>
    <xdr:sp macro="" textlink="">
      <xdr:nvSpPr>
        <xdr:cNvPr id="4" name="Tekstvak 3">
          <a:extLst>
            <a:ext uri="{FF2B5EF4-FFF2-40B4-BE49-F238E27FC236}">
              <a16:creationId xmlns:a16="http://schemas.microsoft.com/office/drawing/2014/main" id="{11397C50-2837-4E63-94C0-65AFC0399F97}"/>
            </a:ext>
          </a:extLst>
        </xdr:cNvPr>
        <xdr:cNvSpPr txBox="1"/>
      </xdr:nvSpPr>
      <xdr:spPr>
        <a:xfrm>
          <a:off x="28575" y="4810124"/>
          <a:ext cx="5438775" cy="3105152"/>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energiebehoefte</a:t>
          </a:r>
        </a:p>
        <a:p>
          <a:r>
            <a:rPr lang="nl-NL" sz="1100" b="0"/>
            <a:t>Het fossiel verbruikt en de warmtebehoefte van uw woning in de wintermaanden staat vermeld op uw energielabel. De</a:t>
          </a:r>
          <a:r>
            <a:rPr lang="nl-NL" sz="1100" b="0" baseline="0"/>
            <a:t> streefwaarden warmtebehoefte bij een hoge temperatuur (HT) en lage temperatuur (LT) berekenen we met de formules:</a:t>
          </a:r>
        </a:p>
        <a:p>
          <a:pPr fontAlgn="base"/>
          <a:endParaRPr lang="nl-NL" sz="1100" b="0" i="0">
            <a:solidFill>
              <a:schemeClr val="dk1"/>
            </a:solidFill>
            <a:effectLst/>
            <a:latin typeface="+mn-lt"/>
            <a:ea typeface="+mn-ea"/>
            <a:cs typeface="+mn-cs"/>
          </a:endParaRPr>
        </a:p>
        <a:p>
          <a:pPr fontAlgn="base"/>
          <a:r>
            <a:rPr lang="nl-NL" sz="1100" b="0" i="0">
              <a:solidFill>
                <a:schemeClr val="dk1"/>
              </a:solidFill>
              <a:effectLst/>
              <a:latin typeface="+mn-lt"/>
              <a:ea typeface="+mn-ea"/>
              <a:cs typeface="+mn-cs"/>
            </a:rPr>
            <a:t>Streefwaarde HT = 60 + 105 * (compactheid – 1)</a:t>
          </a:r>
        </a:p>
        <a:p>
          <a:pPr fontAlgn="base"/>
          <a:r>
            <a:rPr lang="nl-NL" sz="1100" b="0" i="0">
              <a:solidFill>
                <a:schemeClr val="dk1"/>
              </a:solidFill>
              <a:effectLst/>
              <a:latin typeface="+mn-lt"/>
              <a:ea typeface="+mn-ea"/>
              <a:cs typeface="+mn-cs"/>
            </a:rPr>
            <a:t>Streefwaarde LT = 43 + 40 * (compactheid -1)</a:t>
          </a:r>
        </a:p>
        <a:p>
          <a:pPr fontAlgn="base"/>
          <a:endParaRPr lang="nl-NL" sz="1100" b="0" i="0">
            <a:solidFill>
              <a:schemeClr val="dk1"/>
            </a:solidFill>
            <a:effectLst/>
            <a:latin typeface="+mn-lt"/>
            <a:ea typeface="+mn-ea"/>
            <a:cs typeface="+mn-cs"/>
          </a:endParaRPr>
        </a:p>
        <a:p>
          <a:r>
            <a:rPr lang="nl-NL" sz="1100" b="0"/>
            <a:t>Een</a:t>
          </a:r>
          <a:r>
            <a:rPr lang="nl-NL" sz="1100" b="0" baseline="0"/>
            <a:t> HT-systeem is - waarschijnlijk - uw huidige verwarmingssysteem van CV-ketel met radiatoren waar water doorheen gaat van 60 graden of meer. Om van het gas af te gaan heeft u bij een HT-systeem een warmtebron nodig die deze watertemperatuur kan blijven leveren. Dit kan bijvoorbeeld een warmtenet op hoge temperatuur zijn.</a:t>
          </a:r>
        </a:p>
        <a:p>
          <a:endParaRPr lang="nl-NL" sz="1100" b="0" baseline="0"/>
        </a:p>
        <a:p>
          <a:r>
            <a:rPr lang="nl-NL" sz="1100" b="0" baseline="0"/>
            <a:t>Bij goed geïsoleerde woningen (lagere streefwaarde) is het mogelijk het huis te verwarmen met lagere watertemperaturen (35 tot 50 graden). Het huis kan dan verwarmd worden door aan te sluiten op een warmtenet op lage temperatuur. Of u kunt een warmtepomp installeren om uw huis mee te verwarmen.</a:t>
          </a:r>
          <a:endParaRPr lang="nl-NL" sz="1100" b="0"/>
        </a:p>
      </xdr:txBody>
    </xdr:sp>
    <xdr:clientData/>
  </xdr:twoCellAnchor>
  <xdr:twoCellAnchor>
    <xdr:from>
      <xdr:col>0</xdr:col>
      <xdr:colOff>38100</xdr:colOff>
      <xdr:row>54</xdr:row>
      <xdr:rowOff>76199</xdr:rowOff>
    </xdr:from>
    <xdr:to>
      <xdr:col>5</xdr:col>
      <xdr:colOff>133350</xdr:colOff>
      <xdr:row>57</xdr:row>
      <xdr:rowOff>161925</xdr:rowOff>
    </xdr:to>
    <xdr:sp macro="" textlink="">
      <xdr:nvSpPr>
        <xdr:cNvPr id="5" name="Tekstvak 4">
          <a:extLst>
            <a:ext uri="{FF2B5EF4-FFF2-40B4-BE49-F238E27FC236}">
              <a16:creationId xmlns:a16="http://schemas.microsoft.com/office/drawing/2014/main" id="{672840BE-334A-42EB-8B1C-C169E14DB7B7}"/>
            </a:ext>
          </a:extLst>
        </xdr:cNvPr>
        <xdr:cNvSpPr txBox="1"/>
      </xdr:nvSpPr>
      <xdr:spPr>
        <a:xfrm>
          <a:off x="38100" y="10363199"/>
          <a:ext cx="5438775" cy="657226"/>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oppervlakte bouwdelen</a:t>
          </a:r>
        </a:p>
        <a:p>
          <a:r>
            <a:rPr lang="nl-NL" sz="1100" b="0"/>
            <a:t>U voert hier</a:t>
          </a:r>
          <a:r>
            <a:rPr lang="nl-NL" sz="1100" b="0" baseline="0"/>
            <a:t> per bouwdeel het totaal aan vierkante meters in. Heeft u een onderdeel niet, zoals een tweede buitendeur of gevelpanelen, dan voert u 0 in. </a:t>
          </a:r>
          <a:endParaRPr lang="nl-NL" sz="1100" b="0"/>
        </a:p>
      </xdr:txBody>
    </xdr:sp>
    <xdr:clientData/>
  </xdr:twoCellAnchor>
  <xdr:twoCellAnchor>
    <xdr:from>
      <xdr:col>0</xdr:col>
      <xdr:colOff>28575</xdr:colOff>
      <xdr:row>71</xdr:row>
      <xdr:rowOff>57146</xdr:rowOff>
    </xdr:from>
    <xdr:to>
      <xdr:col>5</xdr:col>
      <xdr:colOff>123825</xdr:colOff>
      <xdr:row>87</xdr:row>
      <xdr:rowOff>190499</xdr:rowOff>
    </xdr:to>
    <xdr:sp macro="" textlink="">
      <xdr:nvSpPr>
        <xdr:cNvPr id="6" name="Tekstvak 5">
          <a:extLst>
            <a:ext uri="{FF2B5EF4-FFF2-40B4-BE49-F238E27FC236}">
              <a16:creationId xmlns:a16="http://schemas.microsoft.com/office/drawing/2014/main" id="{4BC60A7B-A208-45E0-8D2B-272C984D99CF}"/>
            </a:ext>
          </a:extLst>
        </xdr:cNvPr>
        <xdr:cNvSpPr txBox="1"/>
      </xdr:nvSpPr>
      <xdr:spPr>
        <a:xfrm>
          <a:off x="28575" y="13582646"/>
          <a:ext cx="5438775" cy="3181353"/>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isolatiewaarden</a:t>
          </a:r>
        </a:p>
        <a:p>
          <a:r>
            <a:rPr lang="nl-NL" sz="1100" b="0"/>
            <a:t>In de kolom Huidig</a:t>
          </a:r>
          <a:r>
            <a:rPr lang="nl-NL" sz="1100" b="0" baseline="0"/>
            <a:t> voert u de huidige isolatiewaarden in. U vindt deze in het rapport van uw energielabel. Als een bouwdeel uit meerdere delen bestaat dan voert u het gewogen gemiddelde in. U kunt hiervoor het tabblad 'Rekenhulp' gebruiken.</a:t>
          </a:r>
        </a:p>
        <a:p>
          <a:endParaRPr lang="nl-NL" sz="1100" b="0" baseline="0"/>
        </a:p>
        <a:p>
          <a:r>
            <a:rPr lang="nl-NL" sz="1100" b="0" baseline="0"/>
            <a:t>In de kolom Verwacht/gewenst voert u in wat u verwacht of hoopt dat de isolatiewaarde zal zijn na uitvoering van de werkzaamheden. Om u te helpen staan de streefwaarden voor de verschillende bouwdelen in de kolom ernaast. Als u deze waarden haalt bent u zeker klaar om van het aardgas af te gaan en uw gehele woning op lage temperatuur te verwarmen.</a:t>
          </a:r>
        </a:p>
        <a:p>
          <a:endParaRPr lang="nl-NL" sz="1100" b="0" baseline="0"/>
        </a:p>
        <a:p>
          <a:r>
            <a:rPr lang="nl-NL" sz="1100" b="1" baseline="0"/>
            <a:t>Opmerking: </a:t>
          </a:r>
        </a:p>
        <a:p>
          <a:r>
            <a:rPr lang="nl-NL" sz="1100" b="0" baseline="0"/>
            <a:t>De streefwaarden zijn redelijk hoog en soms niet haalbaar in een bestaande woning. Na-isoleren van de spouw geeft bijvoorbeeld maximaal een Rc-waarde van 1,7. En bij dakisolatie bent u al goed bezig bij een Rc-waarde van 4,0. En gaat u uw glas vervangen dan is HR++-glas met een isolatiewaarden van 1,1 een prima alternatief voor triple-glas dat weliswaar een betere U-waarde heeft maar waarbij vaak ook alle kozijnen vervangen moeten worden. In de praktijk blijkt dat ook bij iets mindere isolatiewaarden u uw huis kunt verwarmen op lage temperatuur. Zeker als u vooral op de begane grond leeft.</a:t>
          </a:r>
          <a:endParaRPr lang="nl-NL"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28576</xdr:rowOff>
    </xdr:from>
    <xdr:to>
      <xdr:col>5</xdr:col>
      <xdr:colOff>76200</xdr:colOff>
      <xdr:row>10</xdr:row>
      <xdr:rowOff>66676</xdr:rowOff>
    </xdr:to>
    <xdr:sp macro="" textlink="">
      <xdr:nvSpPr>
        <xdr:cNvPr id="2" name="Tekstvak 1">
          <a:extLst>
            <a:ext uri="{FF2B5EF4-FFF2-40B4-BE49-F238E27FC236}">
              <a16:creationId xmlns:a16="http://schemas.microsoft.com/office/drawing/2014/main" id="{F2F02F80-7A56-4FE3-969B-F58E13F446CA}"/>
            </a:ext>
          </a:extLst>
        </xdr:cNvPr>
        <xdr:cNvSpPr txBox="1"/>
      </xdr:nvSpPr>
      <xdr:spPr>
        <a:xfrm>
          <a:off x="47625" y="28576"/>
          <a:ext cx="5438775" cy="2038350"/>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Toelichting tabblad</a:t>
          </a:r>
        </a:p>
        <a:p>
          <a:r>
            <a:rPr lang="nl-NL" sz="1100"/>
            <a:t>Op</a:t>
          </a:r>
          <a:r>
            <a:rPr lang="nl-NL" sz="1100" baseline="0"/>
            <a:t> dit tabblad ziet u wat de maatregelen globaal gaan kosten op basis van de ingevoerde uitgangspunten en gewenste isolatiewaarden. Ook ziet u hoe maatregelen ongeveer bijdragen aan het verminderen van de warmtebehoefte en of de streefwaarden met de plannen gehaald worden.</a:t>
          </a:r>
        </a:p>
        <a:p>
          <a:endParaRPr lang="nl-NL" sz="1100" baseline="0"/>
        </a:p>
        <a:p>
          <a:r>
            <a:rPr lang="nl-NL" sz="1100" baseline="0"/>
            <a:t>Let op: De resultaten geven een indicatie maar zijn zeker geen exacte berekeningen. Er wordt bijvoorbeeld geen rekening gehouden met ander gedrag als gevolg van de verbeterde isolatie, andere zoninstraling, veranderingen in hoe de woning warmte vasthoudt, koudebruggen, etc. WIlt u een goede berekening hebben, laat dan een EPA-adviesrapport opstellen door een professional.</a:t>
          </a:r>
        </a:p>
        <a:p>
          <a:endParaRPr lang="nl-NL" sz="1100"/>
        </a:p>
      </xdr:txBody>
    </xdr:sp>
    <xdr:clientData/>
  </xdr:twoCellAnchor>
  <xdr:twoCellAnchor>
    <xdr:from>
      <xdr:col>0</xdr:col>
      <xdr:colOff>0</xdr:colOff>
      <xdr:row>32</xdr:row>
      <xdr:rowOff>0</xdr:rowOff>
    </xdr:from>
    <xdr:to>
      <xdr:col>5</xdr:col>
      <xdr:colOff>28575</xdr:colOff>
      <xdr:row>40</xdr:row>
      <xdr:rowOff>9525</xdr:rowOff>
    </xdr:to>
    <xdr:sp macro="" textlink="">
      <xdr:nvSpPr>
        <xdr:cNvPr id="3" name="Tekstvak 2">
          <a:extLst>
            <a:ext uri="{FF2B5EF4-FFF2-40B4-BE49-F238E27FC236}">
              <a16:creationId xmlns:a16="http://schemas.microsoft.com/office/drawing/2014/main" id="{D3028D86-6FE7-4FD1-A6CA-A727465085A5}"/>
            </a:ext>
          </a:extLst>
        </xdr:cNvPr>
        <xdr:cNvSpPr txBox="1"/>
      </xdr:nvSpPr>
      <xdr:spPr>
        <a:xfrm>
          <a:off x="0" y="6896100"/>
          <a:ext cx="5438775" cy="1533525"/>
        </a:xfrm>
        <a:prstGeom prst="rect">
          <a:avLst/>
        </a:prstGeom>
        <a:solidFill>
          <a:schemeClr val="lt1"/>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warmtebehoefte</a:t>
          </a:r>
        </a:p>
        <a:p>
          <a:r>
            <a:rPr lang="nl-NL" sz="1100"/>
            <a:t>Als de waarde</a:t>
          </a:r>
          <a:r>
            <a:rPr lang="nl-NL" sz="1100" baseline="0"/>
            <a:t> van de theoretische nieuwe warmtebehoefte lager is dan de streefwaardevoor een verwarming op hoge (HT) of lage (LT) temperatuur, dan is uw woning geschikt om van het aardgas af te gaan.</a:t>
          </a:r>
        </a:p>
        <a:p>
          <a:endParaRPr lang="nl-NL" sz="1100" baseline="0"/>
        </a:p>
        <a:p>
          <a:r>
            <a:rPr lang="nl-NL" sz="1100" baseline="0"/>
            <a:t>Bij HT-verwarming kunt u denken aan aansluiting op een hoog temperatuur warmtenet (indien aanwezig). Bij LT-verwarming kunt u bijvoorbeeld denken aan aansluiting op een laag temperatuur warmtenet (indien aanwezig) of een eigen warmtepomp.</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9724E-624A-4688-8DA8-9CF37421D119}">
  <sheetPr codeName="Blad1"/>
  <dimension ref="A7:G67"/>
  <sheetViews>
    <sheetView workbookViewId="0">
      <selection activeCell="B8" sqref="B8"/>
    </sheetView>
  </sheetViews>
  <sheetFormatPr defaultRowHeight="15" x14ac:dyDescent="0.25"/>
  <cols>
    <col min="1" max="1" width="41.42578125" style="7" customWidth="1"/>
    <col min="2" max="4" width="12.7109375" style="7" customWidth="1"/>
    <col min="5" max="16384" width="9.140625" style="7"/>
  </cols>
  <sheetData>
    <row r="7" spans="1:5" x14ac:dyDescent="0.25">
      <c r="A7" s="8" t="s">
        <v>2</v>
      </c>
    </row>
    <row r="8" spans="1:5" x14ac:dyDescent="0.25">
      <c r="A8" s="9" t="s">
        <v>2</v>
      </c>
      <c r="B8" s="16">
        <v>2628.12</v>
      </c>
      <c r="C8" s="7" t="s">
        <v>1</v>
      </c>
      <c r="E8" s="10"/>
    </row>
    <row r="9" spans="1:5" x14ac:dyDescent="0.25">
      <c r="A9" s="9" t="s">
        <v>52</v>
      </c>
      <c r="B9" s="17">
        <v>365.25</v>
      </c>
      <c r="C9" s="7" t="s">
        <v>0</v>
      </c>
      <c r="E9" s="10"/>
    </row>
    <row r="10" spans="1:5" x14ac:dyDescent="0.25">
      <c r="A10" s="9"/>
      <c r="B10" s="11"/>
      <c r="E10" s="10"/>
    </row>
    <row r="11" spans="1:5" x14ac:dyDescent="0.25">
      <c r="A11" s="9"/>
      <c r="B11" s="11"/>
      <c r="E11" s="10"/>
    </row>
    <row r="12" spans="1:5" x14ac:dyDescent="0.25">
      <c r="A12" s="9"/>
      <c r="B12" s="11"/>
      <c r="E12" s="10"/>
    </row>
    <row r="13" spans="1:5" ht="16.5" customHeight="1" x14ac:dyDescent="0.25">
      <c r="A13" s="9"/>
      <c r="B13" s="11"/>
      <c r="E13" s="10"/>
    </row>
    <row r="14" spans="1:5" ht="16.5" customHeight="1" x14ac:dyDescent="0.25">
      <c r="A14" s="9"/>
      <c r="B14" s="11"/>
      <c r="E14" s="10"/>
    </row>
    <row r="15" spans="1:5" ht="16.5" customHeight="1" x14ac:dyDescent="0.25"/>
    <row r="16" spans="1:5" ht="16.5" customHeight="1" x14ac:dyDescent="0.25"/>
    <row r="17" spans="1:5" ht="16.5" customHeight="1" x14ac:dyDescent="0.25"/>
    <row r="18" spans="1:5" ht="16.5" customHeight="1" x14ac:dyDescent="0.25"/>
    <row r="19" spans="1:5" ht="16.5" customHeight="1" x14ac:dyDescent="0.25"/>
    <row r="20" spans="1:5" x14ac:dyDescent="0.25">
      <c r="A20" s="8" t="s">
        <v>69</v>
      </c>
      <c r="B20" s="10"/>
      <c r="E20" s="10"/>
    </row>
    <row r="21" spans="1:5" x14ac:dyDescent="0.25">
      <c r="A21" s="9" t="s">
        <v>71</v>
      </c>
      <c r="B21" s="18">
        <v>0.17499999999999999</v>
      </c>
      <c r="E21" s="10"/>
    </row>
    <row r="22" spans="1:5" x14ac:dyDescent="0.25">
      <c r="A22" s="9" t="s">
        <v>73</v>
      </c>
      <c r="B22" s="19">
        <v>0.7</v>
      </c>
      <c r="E22" s="10"/>
    </row>
    <row r="23" spans="1:5" x14ac:dyDescent="0.25">
      <c r="A23" s="9"/>
      <c r="B23" s="12"/>
      <c r="E23" s="10"/>
    </row>
    <row r="24" spans="1:5" x14ac:dyDescent="0.25">
      <c r="A24" s="9"/>
      <c r="B24" s="12"/>
      <c r="E24" s="10"/>
    </row>
    <row r="25" spans="1:5" x14ac:dyDescent="0.25">
      <c r="A25" s="9"/>
      <c r="B25" s="12"/>
      <c r="E25" s="10"/>
    </row>
    <row r="26" spans="1:5" x14ac:dyDescent="0.25">
      <c r="A26" s="9"/>
      <c r="B26" s="12"/>
      <c r="E26" s="10"/>
    </row>
    <row r="27" spans="1:5" x14ac:dyDescent="0.25">
      <c r="A27" s="9"/>
      <c r="B27" s="12"/>
      <c r="E27" s="10"/>
    </row>
    <row r="34" spans="1:7" x14ac:dyDescent="0.25">
      <c r="A34" s="8" t="s">
        <v>47</v>
      </c>
      <c r="B34" s="13" t="s">
        <v>37</v>
      </c>
      <c r="C34" s="8" t="s">
        <v>38</v>
      </c>
      <c r="D34" s="8" t="s">
        <v>48</v>
      </c>
      <c r="E34" s="10"/>
    </row>
    <row r="35" spans="1:7" x14ac:dyDescent="0.25">
      <c r="A35" s="9" t="s">
        <v>41</v>
      </c>
      <c r="B35" s="20">
        <v>370</v>
      </c>
      <c r="C35" s="20">
        <v>2700</v>
      </c>
      <c r="D35" s="7" t="s">
        <v>49</v>
      </c>
      <c r="E35" s="10"/>
    </row>
    <row r="36" spans="1:7" x14ac:dyDescent="0.25">
      <c r="A36" s="9" t="s">
        <v>54</v>
      </c>
      <c r="B36" s="20">
        <f>23-23*0.1</f>
        <v>20.7</v>
      </c>
      <c r="C36" s="20">
        <f>23+23*0.1</f>
        <v>25.3</v>
      </c>
      <c r="D36" s="7" t="s">
        <v>51</v>
      </c>
      <c r="E36" s="10"/>
    </row>
    <row r="37" spans="1:7" x14ac:dyDescent="0.25">
      <c r="A37" s="9" t="s">
        <v>23</v>
      </c>
      <c r="B37" s="20">
        <v>150</v>
      </c>
      <c r="C37" s="20">
        <v>190</v>
      </c>
      <c r="D37" s="7" t="s">
        <v>51</v>
      </c>
      <c r="E37" s="10"/>
    </row>
    <row r="38" spans="1:7" x14ac:dyDescent="0.25">
      <c r="A38" s="9" t="s">
        <v>24</v>
      </c>
      <c r="B38" s="20">
        <v>37</v>
      </c>
      <c r="C38" s="20">
        <v>103</v>
      </c>
      <c r="D38" s="7" t="s">
        <v>51</v>
      </c>
      <c r="E38" s="10"/>
    </row>
    <row r="39" spans="1:7" x14ac:dyDescent="0.25">
      <c r="A39" s="9" t="s">
        <v>25</v>
      </c>
      <c r="B39" s="20">
        <v>26</v>
      </c>
      <c r="C39" s="20">
        <v>91</v>
      </c>
      <c r="D39" s="7" t="s">
        <v>51</v>
      </c>
      <c r="E39" s="10"/>
    </row>
    <row r="40" spans="1:7" x14ac:dyDescent="0.25">
      <c r="A40" s="9" t="s">
        <v>28</v>
      </c>
      <c r="B40" s="20">
        <v>20</v>
      </c>
      <c r="C40" s="20">
        <v>50</v>
      </c>
      <c r="D40" s="7" t="s">
        <v>51</v>
      </c>
      <c r="E40" s="10"/>
      <c r="F40" s="14"/>
      <c r="G40" s="14"/>
    </row>
    <row r="41" spans="1:7" x14ac:dyDescent="0.25">
      <c r="A41" s="9" t="s">
        <v>31</v>
      </c>
      <c r="B41" s="20">
        <v>150</v>
      </c>
      <c r="C41" s="20">
        <v>190</v>
      </c>
      <c r="D41" s="7" t="s">
        <v>51</v>
      </c>
      <c r="E41" s="10"/>
    </row>
    <row r="42" spans="1:7" x14ac:dyDescent="0.25">
      <c r="A42" s="9" t="s">
        <v>30</v>
      </c>
      <c r="B42" s="20">
        <v>150</v>
      </c>
      <c r="C42" s="20">
        <v>190</v>
      </c>
      <c r="D42" s="7" t="s">
        <v>51</v>
      </c>
      <c r="E42" s="10"/>
    </row>
    <row r="43" spans="1:7" x14ac:dyDescent="0.25">
      <c r="A43" s="9" t="s">
        <v>34</v>
      </c>
      <c r="B43" s="20">
        <f>3707.46-3707.46*0.1</f>
        <v>3336.7139999999999</v>
      </c>
      <c r="C43" s="20">
        <f>3707.46+3707.46*0.1</f>
        <v>4078.2060000000001</v>
      </c>
      <c r="D43" s="7" t="s">
        <v>58</v>
      </c>
      <c r="E43" s="10"/>
    </row>
    <row r="44" spans="1:7" x14ac:dyDescent="0.25">
      <c r="A44" s="9" t="s">
        <v>57</v>
      </c>
      <c r="B44" s="20">
        <v>450</v>
      </c>
      <c r="C44" s="20">
        <v>710</v>
      </c>
      <c r="D44" s="7" t="s">
        <v>51</v>
      </c>
      <c r="E44" s="10"/>
    </row>
    <row r="45" spans="1:7" x14ac:dyDescent="0.25">
      <c r="A45" s="9" t="s">
        <v>70</v>
      </c>
      <c r="B45" s="20">
        <v>2000</v>
      </c>
      <c r="C45" s="20">
        <v>4000</v>
      </c>
      <c r="D45" s="7" t="s">
        <v>49</v>
      </c>
      <c r="E45" s="10"/>
    </row>
    <row r="46" spans="1:7" x14ac:dyDescent="0.25">
      <c r="A46" s="9"/>
      <c r="B46" s="15"/>
      <c r="C46" s="15"/>
      <c r="E46" s="10"/>
    </row>
    <row r="47" spans="1:7" x14ac:dyDescent="0.25">
      <c r="A47" s="9"/>
      <c r="B47" s="15"/>
      <c r="C47" s="15"/>
      <c r="E47" s="10"/>
    </row>
    <row r="48" spans="1:7" x14ac:dyDescent="0.25">
      <c r="A48" s="9"/>
      <c r="B48" s="15"/>
      <c r="C48" s="15"/>
      <c r="E48" s="10"/>
    </row>
    <row r="49" spans="1:5" x14ac:dyDescent="0.25">
      <c r="A49" s="9"/>
      <c r="B49" s="15"/>
      <c r="C49" s="15"/>
      <c r="E49" s="10"/>
    </row>
    <row r="50" spans="1:5" x14ac:dyDescent="0.25">
      <c r="A50" s="9"/>
      <c r="B50" s="15"/>
      <c r="C50" s="15"/>
      <c r="E50" s="10"/>
    </row>
    <row r="51" spans="1:5" x14ac:dyDescent="0.25">
      <c r="A51" s="9"/>
      <c r="B51" s="15"/>
      <c r="C51" s="15"/>
      <c r="E51" s="10"/>
    </row>
    <row r="52" spans="1:5" x14ac:dyDescent="0.25">
      <c r="A52" s="8"/>
      <c r="B52" s="10"/>
      <c r="E52" s="10"/>
    </row>
    <row r="53" spans="1:5" x14ac:dyDescent="0.25">
      <c r="A53" s="8"/>
      <c r="B53" s="10"/>
      <c r="E53" s="10"/>
    </row>
    <row r="54" spans="1:5" x14ac:dyDescent="0.25">
      <c r="A54" s="8"/>
      <c r="B54" s="10"/>
      <c r="E54" s="10"/>
    </row>
    <row r="55" spans="1:5" x14ac:dyDescent="0.25">
      <c r="A55" s="8"/>
      <c r="B55" s="10"/>
      <c r="E55" s="10"/>
    </row>
    <row r="56" spans="1:5" x14ac:dyDescent="0.25">
      <c r="A56" s="8"/>
      <c r="B56" s="10"/>
      <c r="E56" s="10"/>
    </row>
    <row r="57" spans="1:5" x14ac:dyDescent="0.25">
      <c r="A57" s="8"/>
      <c r="B57" s="10"/>
      <c r="E57" s="10"/>
    </row>
    <row r="58" spans="1:5" x14ac:dyDescent="0.25">
      <c r="A58" s="8" t="s">
        <v>50</v>
      </c>
      <c r="B58" s="13" t="s">
        <v>37</v>
      </c>
      <c r="C58" s="8" t="s">
        <v>38</v>
      </c>
      <c r="D58" s="8" t="s">
        <v>48</v>
      </c>
      <c r="E58" s="10"/>
    </row>
    <row r="59" spans="1:5" x14ac:dyDescent="0.25">
      <c r="A59" s="9" t="s">
        <v>41</v>
      </c>
      <c r="B59" s="20">
        <v>0</v>
      </c>
      <c r="C59" s="20">
        <v>0</v>
      </c>
      <c r="D59" s="7" t="s">
        <v>51</v>
      </c>
      <c r="E59" s="10"/>
    </row>
    <row r="60" spans="1:5" x14ac:dyDescent="0.25">
      <c r="A60" s="9" t="s">
        <v>54</v>
      </c>
      <c r="B60" s="20">
        <v>4</v>
      </c>
      <c r="C60" s="20">
        <v>8</v>
      </c>
      <c r="D60" s="7" t="s">
        <v>51</v>
      </c>
      <c r="E60" s="10"/>
    </row>
    <row r="61" spans="1:5" x14ac:dyDescent="0.25">
      <c r="A61" s="9" t="s">
        <v>23</v>
      </c>
      <c r="B61" s="20">
        <v>23</v>
      </c>
      <c r="C61" s="20">
        <v>46</v>
      </c>
      <c r="D61" s="7" t="s">
        <v>51</v>
      </c>
      <c r="E61" s="10"/>
    </row>
    <row r="62" spans="1:5" x14ac:dyDescent="0.25">
      <c r="A62" s="9" t="s">
        <v>24</v>
      </c>
      <c r="B62" s="20">
        <v>15</v>
      </c>
      <c r="C62" s="20">
        <v>30</v>
      </c>
      <c r="D62" s="7" t="s">
        <v>51</v>
      </c>
      <c r="E62" s="10"/>
    </row>
    <row r="63" spans="1:5" x14ac:dyDescent="0.25">
      <c r="A63" s="9" t="s">
        <v>25</v>
      </c>
      <c r="B63" s="20">
        <v>15</v>
      </c>
      <c r="C63" s="20">
        <v>30</v>
      </c>
      <c r="D63" s="7" t="s">
        <v>51</v>
      </c>
      <c r="E63" s="10"/>
    </row>
    <row r="64" spans="1:5" x14ac:dyDescent="0.25">
      <c r="A64" s="9" t="s">
        <v>28</v>
      </c>
      <c r="B64" s="20">
        <v>5.5</v>
      </c>
      <c r="C64" s="20">
        <v>11</v>
      </c>
      <c r="D64" s="7" t="s">
        <v>51</v>
      </c>
      <c r="E64" s="10"/>
    </row>
    <row r="65" spans="1:5" x14ac:dyDescent="0.25">
      <c r="A65" s="9" t="s">
        <v>31</v>
      </c>
      <c r="B65" s="20">
        <v>23</v>
      </c>
      <c r="C65" s="20">
        <v>46</v>
      </c>
      <c r="D65" s="7" t="s">
        <v>51</v>
      </c>
      <c r="E65" s="10"/>
    </row>
    <row r="66" spans="1:5" x14ac:dyDescent="0.25">
      <c r="A66" s="9" t="s">
        <v>30</v>
      </c>
      <c r="B66" s="20">
        <v>23</v>
      </c>
      <c r="C66" s="20">
        <v>46</v>
      </c>
      <c r="D66" s="7" t="s">
        <v>51</v>
      </c>
      <c r="E66" s="10"/>
    </row>
    <row r="67" spans="1:5" x14ac:dyDescent="0.25">
      <c r="A67" s="9" t="s">
        <v>34</v>
      </c>
      <c r="B67" s="20">
        <v>23</v>
      </c>
      <c r="C67" s="20">
        <v>46</v>
      </c>
      <c r="D67" s="7" t="s">
        <v>51</v>
      </c>
      <c r="E67" s="10"/>
    </row>
  </sheetData>
  <sheetProtection algorithmName="SHA-512" hashValue="UFwDljnpqWh6c5k/kkBMz3rw50xNqHGOSMr2dreuyglo4gHhqAcEWFALTQ+HNG73bz9egpDmRhSCBN32Mp9cqA==" saltValue="lzPLPhwhnTdvv9kIv/X6Ww==" spinCount="100000" sheet="1" objects="1" scenarios="1"/>
  <phoneticPr fontId="2" type="noConversion"/>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04325-218D-42F8-8CFD-F4B286E632CE}">
  <sheetPr codeName="Blad2"/>
  <dimension ref="A7:F49"/>
  <sheetViews>
    <sheetView zoomScale="85" zoomScaleNormal="85" workbookViewId="0">
      <selection activeCell="E18" sqref="E18"/>
    </sheetView>
  </sheetViews>
  <sheetFormatPr defaultRowHeight="15" x14ac:dyDescent="0.25"/>
  <cols>
    <col min="1" max="1" width="11.42578125" style="3" customWidth="1"/>
    <col min="2" max="2" width="20.5703125" style="3" customWidth="1"/>
    <col min="3" max="3" width="26" style="3" customWidth="1"/>
    <col min="4" max="4" width="12.42578125" style="3" customWidth="1"/>
    <col min="5" max="16384" width="9.140625" style="3"/>
  </cols>
  <sheetData>
    <row r="7" spans="1:6" ht="18.75" x14ac:dyDescent="0.3">
      <c r="A7" s="23" t="s">
        <v>86</v>
      </c>
    </row>
    <row r="8" spans="1:6" ht="15.75" thickBot="1" x14ac:dyDescent="0.3"/>
    <row r="9" spans="1:6" ht="15.75" thickTop="1" x14ac:dyDescent="0.25">
      <c r="A9" s="26" t="s">
        <v>82</v>
      </c>
      <c r="B9" s="27" t="s">
        <v>83</v>
      </c>
      <c r="C9" s="28" t="s">
        <v>84</v>
      </c>
      <c r="D9" s="22"/>
      <c r="E9" s="30"/>
      <c r="F9" s="30"/>
    </row>
    <row r="10" spans="1:6" x14ac:dyDescent="0.25">
      <c r="A10" s="29">
        <v>1</v>
      </c>
      <c r="B10" s="76"/>
      <c r="C10" s="77"/>
      <c r="D10" s="22">
        <f>B10*C10</f>
        <v>0</v>
      </c>
      <c r="E10" s="30"/>
      <c r="F10" s="30"/>
    </row>
    <row r="11" spans="1:6" x14ac:dyDescent="0.25">
      <c r="A11" s="29">
        <v>2</v>
      </c>
      <c r="B11" s="76"/>
      <c r="C11" s="77"/>
      <c r="D11" s="22">
        <f t="shared" ref="D11:D22" si="0">B11*C11</f>
        <v>0</v>
      </c>
      <c r="E11" s="30"/>
      <c r="F11" s="30"/>
    </row>
    <row r="12" spans="1:6" x14ac:dyDescent="0.25">
      <c r="A12" s="29">
        <v>3</v>
      </c>
      <c r="B12" s="76"/>
      <c r="C12" s="77"/>
      <c r="D12" s="22">
        <f t="shared" si="0"/>
        <v>0</v>
      </c>
      <c r="E12" s="30"/>
      <c r="F12" s="30"/>
    </row>
    <row r="13" spans="1:6" x14ac:dyDescent="0.25">
      <c r="A13" s="29">
        <v>4</v>
      </c>
      <c r="B13" s="76"/>
      <c r="C13" s="77"/>
      <c r="D13" s="22">
        <f t="shared" si="0"/>
        <v>0</v>
      </c>
      <c r="E13" s="30"/>
      <c r="F13" s="30"/>
    </row>
    <row r="14" spans="1:6" x14ac:dyDescent="0.25">
      <c r="A14" s="29">
        <v>5</v>
      </c>
      <c r="B14" s="76"/>
      <c r="C14" s="77"/>
      <c r="D14" s="22">
        <f t="shared" si="0"/>
        <v>0</v>
      </c>
      <c r="E14" s="30"/>
      <c r="F14" s="30"/>
    </row>
    <row r="15" spans="1:6" x14ac:dyDescent="0.25">
      <c r="A15" s="29">
        <v>6</v>
      </c>
      <c r="B15" s="76"/>
      <c r="C15" s="77"/>
      <c r="D15" s="22">
        <f t="shared" si="0"/>
        <v>0</v>
      </c>
      <c r="E15" s="30"/>
      <c r="F15" s="30"/>
    </row>
    <row r="16" spans="1:6" x14ac:dyDescent="0.25">
      <c r="A16" s="29">
        <v>7</v>
      </c>
      <c r="B16" s="76"/>
      <c r="C16" s="77"/>
      <c r="D16" s="22">
        <f t="shared" si="0"/>
        <v>0</v>
      </c>
      <c r="E16" s="30"/>
      <c r="F16" s="30"/>
    </row>
    <row r="17" spans="1:6" x14ac:dyDescent="0.25">
      <c r="A17" s="29">
        <v>8</v>
      </c>
      <c r="B17" s="76"/>
      <c r="C17" s="77"/>
      <c r="D17" s="22">
        <f t="shared" si="0"/>
        <v>0</v>
      </c>
      <c r="E17" s="30"/>
      <c r="F17" s="30"/>
    </row>
    <row r="18" spans="1:6" x14ac:dyDescent="0.25">
      <c r="A18" s="29">
        <v>9</v>
      </c>
      <c r="B18" s="76"/>
      <c r="C18" s="77"/>
      <c r="D18" s="22">
        <f t="shared" si="0"/>
        <v>0</v>
      </c>
      <c r="E18" s="30"/>
      <c r="F18" s="30"/>
    </row>
    <row r="19" spans="1:6" x14ac:dyDescent="0.25">
      <c r="A19" s="29">
        <v>10</v>
      </c>
      <c r="B19" s="80"/>
      <c r="C19" s="81"/>
      <c r="D19" s="22">
        <f t="shared" si="0"/>
        <v>0</v>
      </c>
      <c r="E19" s="30"/>
      <c r="F19" s="30"/>
    </row>
    <row r="20" spans="1:6" x14ac:dyDescent="0.25">
      <c r="A20" s="29">
        <v>11</v>
      </c>
      <c r="B20" s="80"/>
      <c r="C20" s="81"/>
      <c r="D20" s="22">
        <f t="shared" si="0"/>
        <v>0</v>
      </c>
      <c r="E20" s="30"/>
      <c r="F20" s="30"/>
    </row>
    <row r="21" spans="1:6" x14ac:dyDescent="0.25">
      <c r="A21" s="29">
        <v>12</v>
      </c>
      <c r="B21" s="80"/>
      <c r="C21" s="81"/>
      <c r="D21" s="22"/>
      <c r="E21" s="30"/>
      <c r="F21" s="30"/>
    </row>
    <row r="22" spans="1:6" ht="15.75" thickBot="1" x14ac:dyDescent="0.3">
      <c r="A22" s="29">
        <v>13</v>
      </c>
      <c r="B22" s="78"/>
      <c r="C22" s="79"/>
      <c r="D22" s="22">
        <f t="shared" si="0"/>
        <v>0</v>
      </c>
      <c r="E22" s="30"/>
      <c r="F22" s="30"/>
    </row>
    <row r="23" spans="1:6" ht="16.5" thickTop="1" thickBot="1" x14ac:dyDescent="0.3">
      <c r="A23" s="21" t="s">
        <v>85</v>
      </c>
      <c r="B23" s="24"/>
      <c r="C23" s="25" t="str">
        <f>IFERROR((SUM(D10:D22)/SUM(B10:B22)),"")</f>
        <v/>
      </c>
      <c r="D23" s="22"/>
      <c r="E23" s="30"/>
      <c r="F23" s="30"/>
    </row>
    <row r="24" spans="1:6" ht="15.75" thickTop="1" x14ac:dyDescent="0.25">
      <c r="A24" s="1"/>
      <c r="B24" s="1"/>
      <c r="C24" s="1"/>
    </row>
    <row r="32" spans="1:6" ht="18.75" x14ac:dyDescent="0.3">
      <c r="A32" s="23" t="s">
        <v>88</v>
      </c>
    </row>
    <row r="33" spans="1:5" ht="15.75" thickBot="1" x14ac:dyDescent="0.3"/>
    <row r="34" spans="1:5" ht="15.75" thickTop="1" x14ac:dyDescent="0.25">
      <c r="A34" s="26" t="s">
        <v>82</v>
      </c>
      <c r="B34" s="27" t="s">
        <v>83</v>
      </c>
      <c r="C34" s="28" t="s">
        <v>87</v>
      </c>
      <c r="D34" s="22"/>
      <c r="E34" s="30"/>
    </row>
    <row r="35" spans="1:5" x14ac:dyDescent="0.25">
      <c r="A35" s="29">
        <v>1</v>
      </c>
      <c r="B35" s="76"/>
      <c r="C35" s="77"/>
      <c r="D35" s="22" t="str">
        <f>IFERROR(B35*(1/C35),"")</f>
        <v/>
      </c>
      <c r="E35" s="30"/>
    </row>
    <row r="36" spans="1:5" x14ac:dyDescent="0.25">
      <c r="A36" s="29">
        <v>2</v>
      </c>
      <c r="B36" s="76"/>
      <c r="C36" s="77"/>
      <c r="D36" s="22" t="str">
        <f t="shared" ref="D36:D47" si="1">IFERROR(B36*(1/C36),"")</f>
        <v/>
      </c>
      <c r="E36" s="30"/>
    </row>
    <row r="37" spans="1:5" x14ac:dyDescent="0.25">
      <c r="A37" s="29">
        <v>3</v>
      </c>
      <c r="B37" s="76"/>
      <c r="C37" s="77"/>
      <c r="D37" s="22" t="str">
        <f t="shared" si="1"/>
        <v/>
      </c>
      <c r="E37" s="30"/>
    </row>
    <row r="38" spans="1:5" x14ac:dyDescent="0.25">
      <c r="A38" s="29">
        <v>4</v>
      </c>
      <c r="B38" s="76"/>
      <c r="C38" s="77"/>
      <c r="D38" s="22" t="str">
        <f t="shared" si="1"/>
        <v/>
      </c>
      <c r="E38" s="30"/>
    </row>
    <row r="39" spans="1:5" x14ac:dyDescent="0.25">
      <c r="A39" s="29">
        <v>5</v>
      </c>
      <c r="B39" s="76"/>
      <c r="C39" s="77"/>
      <c r="D39" s="22" t="str">
        <f t="shared" si="1"/>
        <v/>
      </c>
      <c r="E39" s="30"/>
    </row>
    <row r="40" spans="1:5" x14ac:dyDescent="0.25">
      <c r="A40" s="29">
        <v>6</v>
      </c>
      <c r="B40" s="76"/>
      <c r="C40" s="77"/>
      <c r="D40" s="22" t="str">
        <f t="shared" si="1"/>
        <v/>
      </c>
      <c r="E40" s="30"/>
    </row>
    <row r="41" spans="1:5" x14ac:dyDescent="0.25">
      <c r="A41" s="29">
        <v>7</v>
      </c>
      <c r="B41" s="76"/>
      <c r="C41" s="77"/>
      <c r="D41" s="22" t="str">
        <f t="shared" si="1"/>
        <v/>
      </c>
      <c r="E41" s="30"/>
    </row>
    <row r="42" spans="1:5" x14ac:dyDescent="0.25">
      <c r="A42" s="29">
        <v>8</v>
      </c>
      <c r="B42" s="76"/>
      <c r="C42" s="77"/>
      <c r="D42" s="22" t="str">
        <f t="shared" si="1"/>
        <v/>
      </c>
      <c r="E42" s="30"/>
    </row>
    <row r="43" spans="1:5" x14ac:dyDescent="0.25">
      <c r="A43" s="29">
        <v>9</v>
      </c>
      <c r="B43" s="76"/>
      <c r="C43" s="77"/>
      <c r="D43" s="22" t="str">
        <f t="shared" si="1"/>
        <v/>
      </c>
      <c r="E43" s="30"/>
    </row>
    <row r="44" spans="1:5" x14ac:dyDescent="0.25">
      <c r="A44" s="29">
        <v>10</v>
      </c>
      <c r="B44" s="80"/>
      <c r="C44" s="77"/>
      <c r="D44" s="22" t="str">
        <f t="shared" si="1"/>
        <v/>
      </c>
      <c r="E44" s="30"/>
    </row>
    <row r="45" spans="1:5" x14ac:dyDescent="0.25">
      <c r="A45" s="29">
        <v>11</v>
      </c>
      <c r="B45" s="80"/>
      <c r="C45" s="77"/>
      <c r="D45" s="22" t="str">
        <f t="shared" si="1"/>
        <v/>
      </c>
      <c r="E45" s="30"/>
    </row>
    <row r="46" spans="1:5" x14ac:dyDescent="0.25">
      <c r="A46" s="29">
        <v>12</v>
      </c>
      <c r="B46" s="76"/>
      <c r="C46" s="77"/>
      <c r="D46" s="22" t="str">
        <f t="shared" si="1"/>
        <v/>
      </c>
      <c r="E46" s="30"/>
    </row>
    <row r="47" spans="1:5" ht="15.75" thickBot="1" x14ac:dyDescent="0.3">
      <c r="A47" s="29">
        <v>13</v>
      </c>
      <c r="B47" s="78"/>
      <c r="C47" s="79"/>
      <c r="D47" s="22" t="str">
        <f t="shared" si="1"/>
        <v/>
      </c>
      <c r="E47" s="30"/>
    </row>
    <row r="48" spans="1:5" ht="16.5" thickTop="1" thickBot="1" x14ac:dyDescent="0.3">
      <c r="A48" s="21" t="s">
        <v>85</v>
      </c>
      <c r="B48" s="24"/>
      <c r="C48" s="25" t="str">
        <f>IFERROR(1/((SUM(D35:D47)/SUM(B35:B47))),"")</f>
        <v/>
      </c>
      <c r="D48" s="22"/>
      <c r="E48" s="30"/>
    </row>
    <row r="49" spans="1:3" ht="15.75" thickTop="1" x14ac:dyDescent="0.25">
      <c r="A49" s="1"/>
      <c r="B49" s="1"/>
      <c r="C49" s="1"/>
    </row>
  </sheetData>
  <sheetProtection algorithmName="SHA-512" hashValue="x9bHDUgcgY5c14so6E3wgMfkTA5Z557U44kfAbUHa79ftdjBOkarb+lmVU8JKB2tVkpzmD9X4yF2fhcBL1RCQQ==" saltValue="vC+Z3U4AusXgaYOb1FVvnw==" spinCount="100000" sheet="1" objects="1" scenarios="1"/>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6AB34-A0E3-4AFB-B8B3-47873B6F8D6F}">
  <sheetPr codeName="Blad3"/>
  <dimension ref="A8:K93"/>
  <sheetViews>
    <sheetView tabSelected="1" workbookViewId="0">
      <selection activeCell="K75" sqref="K75"/>
    </sheetView>
  </sheetViews>
  <sheetFormatPr defaultRowHeight="15" x14ac:dyDescent="0.25"/>
  <cols>
    <col min="1" max="1" width="38.140625" style="1" customWidth="1"/>
    <col min="2" max="2" width="13.85546875" style="2" bestFit="1" customWidth="1"/>
    <col min="3" max="3" width="12.7109375" style="3" bestFit="1" customWidth="1"/>
    <col min="4" max="4" width="2.7109375" style="3" customWidth="1"/>
    <col min="5" max="5" width="12.7109375" style="2" customWidth="1"/>
    <col min="6" max="6" width="9.85546875" style="3" customWidth="1"/>
    <col min="7" max="7" width="2.7109375" style="3" customWidth="1"/>
    <col min="8" max="10" width="9.140625" style="3"/>
    <col min="11" max="11" width="15.140625" style="3" customWidth="1"/>
    <col min="12" max="16384" width="9.140625" style="3"/>
  </cols>
  <sheetData>
    <row r="8" spans="1:3" x14ac:dyDescent="0.25">
      <c r="A8" s="1" t="s">
        <v>16</v>
      </c>
    </row>
    <row r="9" spans="1:3" x14ac:dyDescent="0.25">
      <c r="A9" s="4" t="s">
        <v>7</v>
      </c>
      <c r="B9" s="73" t="s">
        <v>90</v>
      </c>
    </row>
    <row r="10" spans="1:3" x14ac:dyDescent="0.25">
      <c r="A10" s="4" t="s">
        <v>8</v>
      </c>
      <c r="B10" s="73">
        <v>1989</v>
      </c>
    </row>
    <row r="11" spans="1:3" x14ac:dyDescent="0.25">
      <c r="A11" s="4" t="s">
        <v>9</v>
      </c>
      <c r="B11" s="73">
        <v>1.7</v>
      </c>
    </row>
    <row r="12" spans="1:3" x14ac:dyDescent="0.25">
      <c r="A12" s="4" t="s">
        <v>10</v>
      </c>
      <c r="B12" s="73">
        <v>167</v>
      </c>
      <c r="C12" s="3" t="s">
        <v>3</v>
      </c>
    </row>
    <row r="13" spans="1:3" x14ac:dyDescent="0.25">
      <c r="A13" s="4" t="s">
        <v>11</v>
      </c>
      <c r="B13" s="73" t="s">
        <v>79</v>
      </c>
    </row>
    <row r="14" spans="1:3" x14ac:dyDescent="0.25">
      <c r="A14" s="4"/>
    </row>
    <row r="15" spans="1:3" x14ac:dyDescent="0.25">
      <c r="A15" s="4"/>
    </row>
    <row r="16" spans="1:3" x14ac:dyDescent="0.25">
      <c r="A16" s="4"/>
    </row>
    <row r="17" spans="1:3" x14ac:dyDescent="0.25">
      <c r="A17" s="4"/>
    </row>
    <row r="18" spans="1:3" x14ac:dyDescent="0.25">
      <c r="A18" s="4"/>
    </row>
    <row r="19" spans="1:3" x14ac:dyDescent="0.25">
      <c r="A19" s="4"/>
    </row>
    <row r="21" spans="1:3" x14ac:dyDescent="0.25">
      <c r="A21" s="1" t="s">
        <v>17</v>
      </c>
    </row>
    <row r="22" spans="1:3" x14ac:dyDescent="0.25">
      <c r="A22" s="4" t="s">
        <v>12</v>
      </c>
      <c r="B22" s="73">
        <v>136.68</v>
      </c>
      <c r="C22" s="3" t="s">
        <v>13</v>
      </c>
    </row>
    <row r="23" spans="1:3" x14ac:dyDescent="0.25">
      <c r="A23" s="4" t="s">
        <v>14</v>
      </c>
      <c r="B23" s="73">
        <v>110.31</v>
      </c>
      <c r="C23" s="3" t="s">
        <v>13</v>
      </c>
    </row>
    <row r="24" spans="1:3" x14ac:dyDescent="0.25">
      <c r="A24" s="4" t="s">
        <v>43</v>
      </c>
      <c r="B24" s="2">
        <f>60+105*(B11-1)</f>
        <v>133.5</v>
      </c>
      <c r="C24" s="3" t="s">
        <v>13</v>
      </c>
    </row>
    <row r="25" spans="1:3" x14ac:dyDescent="0.25">
      <c r="A25" s="4" t="s">
        <v>44</v>
      </c>
      <c r="B25" s="2">
        <f>43+40*(B11-1)</f>
        <v>71</v>
      </c>
      <c r="C25" s="3" t="s">
        <v>13</v>
      </c>
    </row>
    <row r="26" spans="1:3" x14ac:dyDescent="0.25">
      <c r="A26" s="4"/>
    </row>
    <row r="27" spans="1:3" x14ac:dyDescent="0.25">
      <c r="A27" s="4"/>
    </row>
    <row r="28" spans="1:3" x14ac:dyDescent="0.25">
      <c r="A28" s="4"/>
    </row>
    <row r="29" spans="1:3" x14ac:dyDescent="0.25">
      <c r="A29" s="4"/>
    </row>
    <row r="30" spans="1:3" x14ac:dyDescent="0.25">
      <c r="A30" s="4"/>
    </row>
    <row r="31" spans="1:3" x14ac:dyDescent="0.25">
      <c r="A31" s="4"/>
    </row>
    <row r="32" spans="1:3" x14ac:dyDescent="0.25">
      <c r="A32" s="4"/>
    </row>
    <row r="33" spans="1:3" x14ac:dyDescent="0.25">
      <c r="A33" s="4"/>
    </row>
    <row r="34" spans="1:3" x14ac:dyDescent="0.25">
      <c r="A34" s="4"/>
    </row>
    <row r="35" spans="1:3" x14ac:dyDescent="0.25">
      <c r="A35" s="4"/>
    </row>
    <row r="36" spans="1:3" x14ac:dyDescent="0.25">
      <c r="A36" s="4"/>
    </row>
    <row r="37" spans="1:3" x14ac:dyDescent="0.25">
      <c r="A37" s="4"/>
    </row>
    <row r="38" spans="1:3" x14ac:dyDescent="0.25">
      <c r="A38" s="4"/>
    </row>
    <row r="39" spans="1:3" x14ac:dyDescent="0.25">
      <c r="A39" s="4"/>
    </row>
    <row r="40" spans="1:3" x14ac:dyDescent="0.25">
      <c r="A40" s="4"/>
    </row>
    <row r="41" spans="1:3" x14ac:dyDescent="0.25">
      <c r="A41" s="4"/>
    </row>
    <row r="42" spans="1:3" x14ac:dyDescent="0.25">
      <c r="A42" s="4"/>
    </row>
    <row r="43" spans="1:3" x14ac:dyDescent="0.25">
      <c r="A43" s="4"/>
    </row>
    <row r="44" spans="1:3" x14ac:dyDescent="0.25">
      <c r="A44" s="1" t="s">
        <v>18</v>
      </c>
    </row>
    <row r="45" spans="1:3" x14ac:dyDescent="0.25">
      <c r="A45" s="4" t="s">
        <v>15</v>
      </c>
      <c r="B45" s="73">
        <v>19.600000000000001</v>
      </c>
      <c r="C45" s="3" t="s">
        <v>3</v>
      </c>
    </row>
    <row r="46" spans="1:3" x14ac:dyDescent="0.25">
      <c r="A46" s="4" t="s">
        <v>23</v>
      </c>
      <c r="B46" s="73">
        <v>0.9</v>
      </c>
      <c r="C46" s="3" t="s">
        <v>3</v>
      </c>
    </row>
    <row r="47" spans="1:3" x14ac:dyDescent="0.25">
      <c r="A47" s="4" t="s">
        <v>24</v>
      </c>
      <c r="B47" s="73">
        <v>106.8</v>
      </c>
      <c r="C47" s="3" t="s">
        <v>3</v>
      </c>
    </row>
    <row r="48" spans="1:3" x14ac:dyDescent="0.25">
      <c r="A48" s="4" t="s">
        <v>25</v>
      </c>
      <c r="B48" s="73"/>
      <c r="C48" s="3" t="s">
        <v>3</v>
      </c>
    </row>
    <row r="49" spans="1:11" x14ac:dyDescent="0.25">
      <c r="A49" s="4" t="s">
        <v>28</v>
      </c>
      <c r="B49" s="73">
        <v>78</v>
      </c>
      <c r="C49" s="3" t="s">
        <v>3</v>
      </c>
    </row>
    <row r="50" spans="1:11" x14ac:dyDescent="0.25">
      <c r="A50" s="4" t="s">
        <v>31</v>
      </c>
      <c r="B50" s="73">
        <v>29.9</v>
      </c>
      <c r="C50" s="3" t="s">
        <v>3</v>
      </c>
    </row>
    <row r="51" spans="1:11" x14ac:dyDescent="0.25">
      <c r="A51" s="4" t="s">
        <v>30</v>
      </c>
      <c r="B51" s="73"/>
      <c r="C51" s="3" t="s">
        <v>3</v>
      </c>
    </row>
    <row r="52" spans="1:11" x14ac:dyDescent="0.25">
      <c r="A52" s="4" t="s">
        <v>59</v>
      </c>
      <c r="B52" s="73">
        <v>1.4</v>
      </c>
      <c r="C52" s="3" t="s">
        <v>3</v>
      </c>
    </row>
    <row r="53" spans="1:11" x14ac:dyDescent="0.25">
      <c r="A53" s="4" t="s">
        <v>60</v>
      </c>
      <c r="B53" s="73">
        <v>1</v>
      </c>
      <c r="C53" s="3" t="s">
        <v>3</v>
      </c>
    </row>
    <row r="54" spans="1:11" x14ac:dyDescent="0.25">
      <c r="A54" s="4" t="s">
        <v>61</v>
      </c>
      <c r="B54" s="73"/>
      <c r="C54" s="3" t="s">
        <v>3</v>
      </c>
    </row>
    <row r="55" spans="1:11" x14ac:dyDescent="0.25">
      <c r="A55" s="4"/>
    </row>
    <row r="56" spans="1:11" x14ac:dyDescent="0.25">
      <c r="A56" s="4"/>
    </row>
    <row r="57" spans="1:11" x14ac:dyDescent="0.25">
      <c r="A57" s="4"/>
    </row>
    <row r="58" spans="1:11" x14ac:dyDescent="0.25">
      <c r="A58" s="4"/>
    </row>
    <row r="59" spans="1:11" x14ac:dyDescent="0.25">
      <c r="A59" s="4"/>
    </row>
    <row r="60" spans="1:11" x14ac:dyDescent="0.25">
      <c r="A60" s="4"/>
    </row>
    <row r="61" spans="1:11" x14ac:dyDescent="0.25">
      <c r="A61" s="1" t="s">
        <v>19</v>
      </c>
      <c r="B61" s="5" t="s">
        <v>35</v>
      </c>
      <c r="E61" s="5" t="s">
        <v>75</v>
      </c>
      <c r="H61" s="1" t="s">
        <v>40</v>
      </c>
    </row>
    <row r="62" spans="1:11" x14ac:dyDescent="0.25">
      <c r="A62" s="4" t="s">
        <v>20</v>
      </c>
      <c r="B62" s="73">
        <v>2.2799999999999998</v>
      </c>
      <c r="C62" s="3" t="s">
        <v>21</v>
      </c>
      <c r="E62" s="73">
        <v>2.2799999999999998</v>
      </c>
      <c r="F62" s="3" t="s">
        <v>21</v>
      </c>
      <c r="H62" s="2">
        <v>6</v>
      </c>
      <c r="I62" s="3" t="s">
        <v>21</v>
      </c>
      <c r="K62" s="82">
        <f>(1/$B62)*$B45*(Uitgangspunten!$B$8/Uitgangspunten!$B$9)*24*365.25/1000/$B$12</f>
        <v>3.2468422313268204</v>
      </c>
    </row>
    <row r="63" spans="1:11" x14ac:dyDescent="0.25">
      <c r="A63" s="4" t="s">
        <v>22</v>
      </c>
      <c r="B63" s="73">
        <v>2.5</v>
      </c>
      <c r="C63" s="3" t="s">
        <v>4</v>
      </c>
      <c r="E63" s="73">
        <v>1.4</v>
      </c>
      <c r="F63" s="3" t="s">
        <v>4</v>
      </c>
      <c r="H63" s="2">
        <v>1.4</v>
      </c>
      <c r="I63" s="3" t="s">
        <v>4</v>
      </c>
      <c r="K63" s="82">
        <f>($B63)*$B46*(Uitgangspunten!$B$8/Uitgangspunten!$B$9)*24*365.25/1000/$B$12</f>
        <v>0.84981125748503006</v>
      </c>
    </row>
    <row r="64" spans="1:11" x14ac:dyDescent="0.25">
      <c r="A64" s="4" t="s">
        <v>26</v>
      </c>
      <c r="B64" s="73">
        <v>2.2999999999999998</v>
      </c>
      <c r="C64" s="3" t="s">
        <v>21</v>
      </c>
      <c r="E64" s="73">
        <v>4</v>
      </c>
      <c r="F64" s="3" t="s">
        <v>21</v>
      </c>
      <c r="H64" s="2">
        <v>8</v>
      </c>
      <c r="I64" s="3" t="s">
        <v>21</v>
      </c>
      <c r="K64" s="82">
        <f>(1/$B64)*$B47*(Uitgangspunten!$B$8/Uitgangspunten!$B$9)*24*365.25/1000/$B$12</f>
        <v>17.538133777662068</v>
      </c>
    </row>
    <row r="65" spans="1:11" x14ac:dyDescent="0.25">
      <c r="A65" s="4" t="s">
        <v>27</v>
      </c>
      <c r="B65" s="74"/>
      <c r="C65" s="3" t="s">
        <v>21</v>
      </c>
      <c r="E65" s="73"/>
      <c r="F65" s="3" t="s">
        <v>21</v>
      </c>
      <c r="H65" s="2">
        <v>8</v>
      </c>
      <c r="I65" s="3" t="s">
        <v>21</v>
      </c>
      <c r="K65" s="82" t="str">
        <f>IF(B65&lt;&gt;"",(1/$B65)*$B48*(Uitgangspunten!$B$8/Uitgangspunten!$B$9)*24*365.25/1000/$B$12,"")</f>
        <v/>
      </c>
    </row>
    <row r="66" spans="1:11" x14ac:dyDescent="0.25">
      <c r="A66" s="4" t="s">
        <v>29</v>
      </c>
      <c r="B66" s="74">
        <v>3.49</v>
      </c>
      <c r="C66" s="3" t="s">
        <v>21</v>
      </c>
      <c r="E66" s="73">
        <v>3.49</v>
      </c>
      <c r="F66" s="3" t="s">
        <v>21</v>
      </c>
      <c r="H66" s="2">
        <v>3.5</v>
      </c>
      <c r="I66" s="3" t="s">
        <v>21</v>
      </c>
      <c r="K66" s="82">
        <f>(1/$B66)*$B49*(Uitgangspunten!$B$8/Uitgangspunten!$B$9)*24*365.25/1000/$B$12</f>
        <v>8.4412961583995312</v>
      </c>
    </row>
    <row r="67" spans="1:11" x14ac:dyDescent="0.25">
      <c r="A67" s="4" t="s">
        <v>32</v>
      </c>
      <c r="B67" s="74">
        <v>1.88</v>
      </c>
      <c r="C67" s="3" t="s">
        <v>4</v>
      </c>
      <c r="E67" s="73">
        <v>1.1000000000000001</v>
      </c>
      <c r="F67" s="3" t="s">
        <v>4</v>
      </c>
      <c r="H67" s="2">
        <v>1</v>
      </c>
      <c r="I67" s="3" t="s">
        <v>4</v>
      </c>
      <c r="K67" s="82">
        <f>($B67)*$B50*(Uitgangspunten!$B$8/Uitgangspunten!$B$9)*24*365.25/1000/$B$12</f>
        <v>21.230929069221556</v>
      </c>
    </row>
    <row r="68" spans="1:11" x14ac:dyDescent="0.25">
      <c r="A68" s="4" t="s">
        <v>33</v>
      </c>
      <c r="B68" s="73"/>
      <c r="C68" s="3" t="s">
        <v>4</v>
      </c>
      <c r="E68" s="73"/>
      <c r="F68" s="3" t="s">
        <v>4</v>
      </c>
      <c r="H68" s="2">
        <v>1</v>
      </c>
      <c r="I68" s="3" t="s">
        <v>4</v>
      </c>
      <c r="K68" s="82" t="str">
        <f>IF(B68&lt;&gt;"",($B68)*$B51*(Uitgangspunten!$B$8/Uitgangspunten!$B$9)*24*365.25/1000/$B$12,"")</f>
        <v/>
      </c>
    </row>
    <row r="69" spans="1:11" x14ac:dyDescent="0.25">
      <c r="A69" s="4" t="s">
        <v>62</v>
      </c>
      <c r="B69" s="73">
        <v>3.4</v>
      </c>
      <c r="C69" s="3" t="s">
        <v>4</v>
      </c>
      <c r="E69" s="73">
        <v>3.4</v>
      </c>
      <c r="F69" s="3" t="s">
        <v>4</v>
      </c>
      <c r="H69" s="2">
        <v>1.4</v>
      </c>
      <c r="I69" s="3" t="s">
        <v>4</v>
      </c>
      <c r="K69" s="82">
        <f>($B69)*$B52*(Uitgangspunten!$B$8/Uitgangspunten!$B$9)*24*365.25/1000/$B$12</f>
        <v>1.7978229269461075</v>
      </c>
    </row>
    <row r="70" spans="1:11" x14ac:dyDescent="0.25">
      <c r="A70" s="4" t="s">
        <v>63</v>
      </c>
      <c r="B70" s="73">
        <v>3.4</v>
      </c>
      <c r="C70" s="3" t="s">
        <v>4</v>
      </c>
      <c r="E70" s="73">
        <v>3.4</v>
      </c>
      <c r="F70" s="3" t="s">
        <v>4</v>
      </c>
      <c r="H70" s="2">
        <v>1.4</v>
      </c>
      <c r="I70" s="3" t="s">
        <v>4</v>
      </c>
      <c r="K70" s="82">
        <f>($B70)*$B53*(Uitgangspunten!$B$8/Uitgangspunten!$B$9)*24*365.25/1000/$B$12</f>
        <v>1.2841592335329339</v>
      </c>
    </row>
    <row r="71" spans="1:11" x14ac:dyDescent="0.25">
      <c r="A71" s="4" t="s">
        <v>64</v>
      </c>
      <c r="B71" s="73"/>
      <c r="C71" s="3" t="s">
        <v>4</v>
      </c>
      <c r="E71" s="73"/>
      <c r="F71" s="3" t="s">
        <v>4</v>
      </c>
      <c r="H71" s="2">
        <v>1.4</v>
      </c>
      <c r="I71" s="3" t="s">
        <v>4</v>
      </c>
      <c r="K71" s="82">
        <f>($B71)*$B54*(Uitgangspunten!$B$8/Uitgangspunten!$B$9)*24*365.25/1000/$B$12</f>
        <v>0</v>
      </c>
    </row>
    <row r="72" spans="1:11" x14ac:dyDescent="0.25">
      <c r="A72" s="4"/>
      <c r="H72" s="2"/>
      <c r="K72" s="82">
        <f>SUM(K62:K71)</f>
        <v>54.388994654574049</v>
      </c>
    </row>
    <row r="73" spans="1:11" x14ac:dyDescent="0.25">
      <c r="A73" s="4"/>
      <c r="H73" s="2"/>
    </row>
    <row r="74" spans="1:11" x14ac:dyDescent="0.25">
      <c r="A74" s="4"/>
      <c r="H74" s="2"/>
    </row>
    <row r="75" spans="1:11" x14ac:dyDescent="0.25">
      <c r="A75" s="4"/>
      <c r="H75" s="2"/>
    </row>
    <row r="76" spans="1:11" x14ac:dyDescent="0.25">
      <c r="A76" s="4"/>
      <c r="H76" s="2"/>
    </row>
    <row r="77" spans="1:11" x14ac:dyDescent="0.25">
      <c r="A77" s="4"/>
    </row>
    <row r="78" spans="1:11" x14ac:dyDescent="0.25">
      <c r="A78" s="4"/>
    </row>
    <row r="79" spans="1:11" x14ac:dyDescent="0.25">
      <c r="A79" s="4"/>
    </row>
    <row r="80" spans="1:11"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x14ac:dyDescent="0.25">
      <c r="A87" s="4"/>
    </row>
    <row r="88" spans="1:2" x14ac:dyDescent="0.25">
      <c r="A88" s="4"/>
    </row>
    <row r="89" spans="1:2" x14ac:dyDescent="0.25">
      <c r="A89" s="4"/>
    </row>
    <row r="90" spans="1:2" x14ac:dyDescent="0.25">
      <c r="A90" s="1" t="s">
        <v>55</v>
      </c>
    </row>
    <row r="91" spans="1:2" x14ac:dyDescent="0.25">
      <c r="A91" s="4" t="s">
        <v>42</v>
      </c>
      <c r="B91" s="73" t="s">
        <v>46</v>
      </c>
    </row>
    <row r="92" spans="1:2" x14ac:dyDescent="0.25">
      <c r="A92" s="4" t="s">
        <v>56</v>
      </c>
      <c r="B92" s="73" t="s">
        <v>45</v>
      </c>
    </row>
    <row r="93" spans="1:2" x14ac:dyDescent="0.25">
      <c r="A93" s="4" t="s">
        <v>74</v>
      </c>
      <c r="B93" s="75">
        <f>'Invoer - Jachtlaan'!B49/'Invoer - Jachtlaan'!B12</f>
        <v>0.46706586826347307</v>
      </c>
    </row>
  </sheetData>
  <sheetProtection algorithmName="SHA-512" hashValue="sGXu6Nvcu9htnL6xNGtCt4UZiuZBmV3qxhuui9Arnl2MGAGHcOFkB9M/BVFgFxDWSWg2rLWyyDiKnnrtKjj+MA==" saltValue="1yljuMkHWh4ljh/hplc+Yg==" spinCount="100000" sheet="1" objects="1" scenarios="1"/>
  <phoneticPr fontId="2" type="noConversion"/>
  <pageMargins left="0.7" right="0.7" top="0.75" bottom="0.75" header="0.3" footer="0.3"/>
  <pageSetup paperSize="9" orientation="portrait" r:id="rId1"/>
  <ignoredErrors>
    <ignoredError sqref="K63 K65 K68"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40FD281-8E5C-4C44-BB07-4BAEAAE435EF}">
          <x14:formula1>
            <xm:f>Lijsten!$A$1:$A$5</xm:f>
          </x14:formula1>
          <xm:sqref>B13</xm:sqref>
        </x14:dataValidation>
        <x14:dataValidation type="list" allowBlank="1" showInputMessage="1" showErrorMessage="1" xr:uid="{410130E4-BD5C-4BF0-BBAF-1CF8336C4546}">
          <x14:formula1>
            <xm:f>Lijsten!$C$1:$C$3</xm:f>
          </x14:formula1>
          <xm:sqref>B91</xm:sqref>
        </x14:dataValidation>
        <x14:dataValidation type="list" allowBlank="1" showInputMessage="1" showErrorMessage="1" xr:uid="{06358377-7563-45D9-AE4F-B031F2DA981E}">
          <x14:formula1>
            <xm:f>Lijsten!$C$1:$C$2</xm:f>
          </x14:formula1>
          <xm:sqref>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C5020-07D1-4568-B250-D2C2B1FFB02B}">
  <sheetPr codeName="Blad4"/>
  <dimension ref="A1:K36"/>
  <sheetViews>
    <sheetView workbookViewId="0">
      <selection activeCell="F38" sqref="F38"/>
    </sheetView>
  </sheetViews>
  <sheetFormatPr defaultRowHeight="15" x14ac:dyDescent="0.25"/>
  <cols>
    <col min="1" max="1" width="36.140625" style="31" bestFit="1" customWidth="1"/>
    <col min="2" max="2" width="12.7109375" style="31" customWidth="1"/>
    <col min="3" max="3" width="13.28515625" style="31" customWidth="1"/>
    <col min="4" max="4" width="3" style="31" customWidth="1"/>
    <col min="5" max="6" width="16" style="31" customWidth="1"/>
    <col min="7" max="7" width="4.5703125" style="31" customWidth="1"/>
    <col min="8" max="8" width="19.28515625" style="31" customWidth="1"/>
    <col min="9" max="9" width="21" style="31" customWidth="1"/>
    <col min="10" max="16384" width="9.140625" style="31"/>
  </cols>
  <sheetData>
    <row r="1" spans="1:9" ht="15.75" customHeight="1" x14ac:dyDescent="0.25"/>
    <row r="2" spans="1:9" ht="15.75" customHeight="1" x14ac:dyDescent="0.25"/>
    <row r="3" spans="1:9" ht="15.75" customHeight="1" x14ac:dyDescent="0.25"/>
    <row r="4" spans="1:9" ht="15.75" customHeight="1" x14ac:dyDescent="0.25"/>
    <row r="5" spans="1:9" ht="15.75" customHeight="1" x14ac:dyDescent="0.25"/>
    <row r="6" spans="1:9" ht="15.75" customHeight="1" x14ac:dyDescent="0.25"/>
    <row r="7" spans="1:9" ht="15.75" customHeight="1" x14ac:dyDescent="0.25"/>
    <row r="8" spans="1:9" ht="15.75" customHeight="1" x14ac:dyDescent="0.35">
      <c r="A8" s="32"/>
    </row>
    <row r="9" spans="1:9" ht="15.75" customHeight="1" x14ac:dyDescent="0.35">
      <c r="A9" s="32"/>
    </row>
    <row r="10" spans="1:9" ht="15.75" customHeight="1" x14ac:dyDescent="0.35">
      <c r="A10" s="32"/>
    </row>
    <row r="11" spans="1:9" ht="15.75" customHeight="1" thickBot="1" x14ac:dyDescent="0.4">
      <c r="A11" s="32"/>
    </row>
    <row r="12" spans="1:9" ht="31.5" customHeight="1" thickTop="1" x14ac:dyDescent="0.25">
      <c r="A12" s="33"/>
      <c r="B12" s="83" t="s">
        <v>36</v>
      </c>
      <c r="C12" s="84"/>
      <c r="D12" s="34"/>
      <c r="E12" s="85" t="s">
        <v>72</v>
      </c>
      <c r="F12" s="86"/>
      <c r="G12" s="34"/>
      <c r="H12" s="83" t="s">
        <v>39</v>
      </c>
      <c r="I12" s="84"/>
    </row>
    <row r="13" spans="1:9" s="41" customFormat="1" ht="49.5" customHeight="1" thickBot="1" x14ac:dyDescent="0.3">
      <c r="A13" s="35" t="s">
        <v>81</v>
      </c>
      <c r="B13" s="36" t="s">
        <v>37</v>
      </c>
      <c r="C13" s="37" t="s">
        <v>38</v>
      </c>
      <c r="D13" s="38"/>
      <c r="E13" s="36" t="s">
        <v>37</v>
      </c>
      <c r="F13" s="37" t="s">
        <v>38</v>
      </c>
      <c r="G13" s="38"/>
      <c r="H13" s="39" t="s">
        <v>53</v>
      </c>
      <c r="I13" s="40" t="s">
        <v>89</v>
      </c>
    </row>
    <row r="14" spans="1:9" ht="15.75" thickTop="1" x14ac:dyDescent="0.25">
      <c r="A14" s="42" t="s">
        <v>41</v>
      </c>
      <c r="B14" s="43">
        <f>IF('Invoer - Jachtlaan'!$B$91="Nee",370,0)</f>
        <v>0</v>
      </c>
      <c r="C14" s="44">
        <f>IF('Invoer - Jachtlaan'!$B$91="Nee",2700,IF('Invoer - Jachtlaan'!$B$91="Onbekend",2700,0))</f>
        <v>2700</v>
      </c>
      <c r="D14" s="45"/>
      <c r="E14" s="43">
        <f>IF('Invoer - Jachtlaan'!$B61&lt;&gt;'Invoer - Jachtlaan'!$E61,Uitgangspunten!$B59*'Invoer - Jachtlaan'!$B44,"")</f>
        <v>0</v>
      </c>
      <c r="F14" s="44">
        <f>IF('Invoer - Jachtlaan'!$B61&lt;&gt;'Invoer - Jachtlaan'!$E61,Uitgangspunten!$C59*'Invoer - Jachtlaan'!$B44,"")</f>
        <v>0</v>
      </c>
      <c r="G14" s="46"/>
      <c r="H14" s="47">
        <f>IF(C14&lt;&gt;0,I14*9.8/'Invoer - Jachtlaan'!B12,"")</f>
        <v>2.9341317365269464</v>
      </c>
      <c r="I14" s="48">
        <f>IF(C14&lt;&gt;0,50,"")</f>
        <v>50</v>
      </c>
    </row>
    <row r="15" spans="1:9" x14ac:dyDescent="0.25">
      <c r="A15" s="49" t="s">
        <v>15</v>
      </c>
      <c r="B15" s="50" t="str">
        <f>IF('Invoer - Jachtlaan'!$B62&lt;&gt;'Invoer - Jachtlaan'!$E62,Uitgangspunten!$B36*'Invoer - Jachtlaan'!$B45,"")</f>
        <v/>
      </c>
      <c r="C15" s="51" t="str">
        <f>IF('Invoer - Jachtlaan'!$B62&lt;&gt;'Invoer - Jachtlaan'!$E62,Uitgangspunten!$C36*'Invoer - Jachtlaan'!$B45,"")</f>
        <v/>
      </c>
      <c r="D15" s="52"/>
      <c r="E15" s="50" t="str">
        <f>IF('Invoer - Jachtlaan'!$B62&lt;&gt;'Invoer - Jachtlaan'!$E62,Uitgangspunten!$B60*'Invoer - Jachtlaan'!$B45,"")</f>
        <v/>
      </c>
      <c r="F15" s="51" t="str">
        <f>IF('Invoer - Jachtlaan'!$B62&lt;&gt;'Invoer - Jachtlaan'!$E62,Uitgangspunten!$C60*'Invoer - Jachtlaan'!$B45,"")</f>
        <v/>
      </c>
      <c r="G15" s="53"/>
      <c r="H15" s="54" t="str">
        <f>IF('Invoer - Jachtlaan'!$B62&lt;&gt;'Invoer - Jachtlaan'!$E62,(1/'Invoer - Jachtlaan'!$B62)*'Invoer - Jachtlaan'!$B45*(Uitgangspunten!$B$8/Uitgangspunten!$B$9)*24*365.25/1000/'Invoer - Jachtlaan'!$B$12-(1/'Invoer - Jachtlaan'!$E62)*'Invoer - Jachtlaan'!$B45*(Uitgangspunten!$B$8/Uitgangspunten!$B$9)*24*365.25/1000/'Invoer - Jachtlaan'!$B$12,"")</f>
        <v/>
      </c>
      <c r="I15" s="55" t="str">
        <f>IF(H15&lt;&gt;"",H15*'Invoer - Jachtlaan'!$B$12/9.8,"")</f>
        <v/>
      </c>
    </row>
    <row r="16" spans="1:9" x14ac:dyDescent="0.25">
      <c r="A16" s="49" t="s">
        <v>23</v>
      </c>
      <c r="B16" s="50">
        <f>IF('Invoer - Jachtlaan'!$B63&lt;&gt;'Invoer - Jachtlaan'!$E63,Uitgangspunten!$B37*'Invoer - Jachtlaan'!$B46,"")</f>
        <v>135</v>
      </c>
      <c r="C16" s="51">
        <f>IF('Invoer - Jachtlaan'!$B63&lt;&gt;'Invoer - Jachtlaan'!$E63,Uitgangspunten!$C37*'Invoer - Jachtlaan'!$B46,"")</f>
        <v>171</v>
      </c>
      <c r="D16" s="52"/>
      <c r="E16" s="50">
        <f>IF('Invoer - Jachtlaan'!$B63&lt;&gt;'Invoer - Jachtlaan'!$E63,Uitgangspunten!$B61*'Invoer - Jachtlaan'!$B46,"")</f>
        <v>20.7</v>
      </c>
      <c r="F16" s="51">
        <f>IF('Invoer - Jachtlaan'!$B63&lt;&gt;'Invoer - Jachtlaan'!$E63,Uitgangspunten!$C61*'Invoer - Jachtlaan'!$B46,"")</f>
        <v>41.4</v>
      </c>
      <c r="G16" s="53"/>
      <c r="H16" s="54">
        <f>IF('Invoer - Jachtlaan'!$B63&lt;&gt;'Invoer - Jachtlaan'!$E63,('Invoer - Jachtlaan'!$B63)*'Invoer - Jachtlaan'!$B46*(Uitgangspunten!$B$8/Uitgangspunten!$B$9)*24*365.25/1000/'Invoer - Jachtlaan'!$B$12-('Invoer - Jachtlaan'!$E63)*'Invoer - Jachtlaan'!$B46*(Uitgangspunten!$B$8/Uitgangspunten!$B$9)*24*365.25/1000/'Invoer - Jachtlaan'!$B$12,"")</f>
        <v>0.37391695329341335</v>
      </c>
      <c r="I16" s="55">
        <f>IF(H16&lt;&gt;"",H16*'Invoer - Jachtlaan'!$B$12/9.8,"")</f>
        <v>6.3718501224489819</v>
      </c>
    </row>
    <row r="17" spans="1:11" x14ac:dyDescent="0.25">
      <c r="A17" s="49" t="s">
        <v>24</v>
      </c>
      <c r="B17" s="50">
        <f>IF('Invoer - Jachtlaan'!$B64&lt;&gt;'Invoer - Jachtlaan'!$E64,Uitgangspunten!$B38*'Invoer - Jachtlaan'!$B47,"")</f>
        <v>3951.6</v>
      </c>
      <c r="C17" s="51">
        <f>IF('Invoer - Jachtlaan'!$B64&lt;&gt;'Invoer - Jachtlaan'!$E64,Uitgangspunten!$C38*'Invoer - Jachtlaan'!$B47,"")</f>
        <v>11000.4</v>
      </c>
      <c r="D17" s="52"/>
      <c r="E17" s="50">
        <f>IF('Invoer - Jachtlaan'!$B64&lt;&gt;'Invoer - Jachtlaan'!$E64,Uitgangspunten!$B62*'Invoer - Jachtlaan'!$B47,"")</f>
        <v>1602</v>
      </c>
      <c r="F17" s="51">
        <f>IF('Invoer - Jachtlaan'!$B64&lt;&gt;'Invoer - Jachtlaan'!$E64,Uitgangspunten!$C62*'Invoer - Jachtlaan'!$B47,"")</f>
        <v>3204</v>
      </c>
      <c r="G17" s="53"/>
      <c r="H17" s="54">
        <f>IF('Invoer - Jachtlaan'!$B64&lt;&gt;'Invoer - Jachtlaan'!$E64,(1/'Invoer - Jachtlaan'!$B64)*'Invoer - Jachtlaan'!$B47*(Uitgangspunten!$B$8/Uitgangspunten!$B$9)*24*365.25/1000/'Invoer - Jachtlaan'!$B$12-(1/'Invoer - Jachtlaan'!$E64)*'Invoer - Jachtlaan'!$B47*(Uitgangspunten!$B$8/Uitgangspunten!$B$9)*24*365.25/1000/'Invoer - Jachtlaan'!$B$12,"")</f>
        <v>7.4537068555063808</v>
      </c>
      <c r="I17" s="55">
        <f>IF(H17&lt;&gt;"",H17*'Invoer - Jachtlaan'!$B$12/9.8,"")</f>
        <v>127.01724947648627</v>
      </c>
    </row>
    <row r="18" spans="1:11" x14ac:dyDescent="0.25">
      <c r="A18" s="49" t="s">
        <v>25</v>
      </c>
      <c r="B18" s="50" t="str">
        <f>IF('Invoer - Jachtlaan'!$B65&lt;&gt;'Invoer - Jachtlaan'!$E65,Uitgangspunten!$B39*'Invoer - Jachtlaan'!$B48,"")</f>
        <v/>
      </c>
      <c r="C18" s="51" t="str">
        <f>IF('Invoer - Jachtlaan'!$B65&lt;&gt;'Invoer - Jachtlaan'!$E65,Uitgangspunten!$C39*'Invoer - Jachtlaan'!$B48,"")</f>
        <v/>
      </c>
      <c r="D18" s="52"/>
      <c r="E18" s="50" t="str">
        <f>IF('Invoer - Jachtlaan'!$B65&lt;&gt;'Invoer - Jachtlaan'!$E65,Uitgangspunten!$B63*'Invoer - Jachtlaan'!$B48,"")</f>
        <v/>
      </c>
      <c r="F18" s="51" t="str">
        <f>IF('Invoer - Jachtlaan'!$B65&lt;&gt;'Invoer - Jachtlaan'!$E65,Uitgangspunten!$C63*'Invoer - Jachtlaan'!$B48,"")</f>
        <v/>
      </c>
      <c r="G18" s="53"/>
      <c r="H18" s="54" t="str">
        <f>IF('Invoer - Jachtlaan'!$B65&lt;&gt;'Invoer - Jachtlaan'!$E65,(1/'Invoer - Jachtlaan'!$B65)*'Invoer - Jachtlaan'!$B48*(Uitgangspunten!$B$8/Uitgangspunten!$B$9)*24*365.25/1000/'Invoer - Jachtlaan'!$B$12-(1/'Invoer - Jachtlaan'!$E65)*'Invoer - Jachtlaan'!$B48*(Uitgangspunten!$B$8/Uitgangspunten!$B$9)*24*365.25/1000/'Invoer - Jachtlaan'!$B$12,"")</f>
        <v/>
      </c>
      <c r="I18" s="55" t="str">
        <f>IF(H18&lt;&gt;"",H18*'Invoer - Jachtlaan'!$B$12/9.8,"")</f>
        <v/>
      </c>
    </row>
    <row r="19" spans="1:11" x14ac:dyDescent="0.25">
      <c r="A19" s="49" t="s">
        <v>28</v>
      </c>
      <c r="B19" s="50" t="str">
        <f>IF('Invoer - Jachtlaan'!$B66&lt;&gt;'Invoer - Jachtlaan'!$E66,Uitgangspunten!$B40*'Invoer - Jachtlaan'!$B49,"")</f>
        <v/>
      </c>
      <c r="C19" s="51" t="str">
        <f>IF('Invoer - Jachtlaan'!$B66&lt;&gt;'Invoer - Jachtlaan'!$E66,Uitgangspunten!$C40*'Invoer - Jachtlaan'!$B49,"")</f>
        <v/>
      </c>
      <c r="D19" s="52"/>
      <c r="E19" s="50" t="str">
        <f>IF('Invoer - Jachtlaan'!$B66&lt;&gt;'Invoer - Jachtlaan'!$E66,Uitgangspunten!$B64*'Invoer - Jachtlaan'!$B49,"")</f>
        <v/>
      </c>
      <c r="F19" s="51" t="str">
        <f>IF('Invoer - Jachtlaan'!$B66&lt;&gt;'Invoer - Jachtlaan'!$E66,Uitgangspunten!$C64*'Invoer - Jachtlaan'!$B49,"")</f>
        <v/>
      </c>
      <c r="G19" s="53"/>
      <c r="H19" s="54" t="str">
        <f>IF('Invoer - Jachtlaan'!$B66&lt;&gt;'Invoer - Jachtlaan'!$E66,(1/'Invoer - Jachtlaan'!$B66)*'Invoer - Jachtlaan'!$B49*(Uitgangspunten!$B$8/Uitgangspunten!$B$9)*24*365.25/1000/'Invoer - Jachtlaan'!$B$12-(1/'Invoer - Jachtlaan'!$E66)*'Invoer - Jachtlaan'!$B49*(Uitgangspunten!$B$8/Uitgangspunten!$B$9)*24*365.25/1000/'Invoer - Jachtlaan'!$B$12,"")</f>
        <v/>
      </c>
      <c r="I19" s="55" t="str">
        <f>IF(H19&lt;&gt;"",H19*'Invoer - Jachtlaan'!$B$12/9.8,"")</f>
        <v/>
      </c>
      <c r="J19" s="56"/>
      <c r="K19" s="56"/>
    </row>
    <row r="20" spans="1:11" x14ac:dyDescent="0.25">
      <c r="A20" s="49" t="s">
        <v>31</v>
      </c>
      <c r="B20" s="50">
        <f>IF('Invoer - Jachtlaan'!$B67&lt;&gt;'Invoer - Jachtlaan'!$E67,IF('Invoer - Jachtlaan'!$B$92="Ja",Uitgangspunten!B41*'Invoer - Jachtlaan'!$B50+Uitgangspunten!B$44*'Invoer - Jachtlaan'!$B50,Uitgangspunten!B41*'Invoer - Jachtlaan'!$B50),"")</f>
        <v>4485</v>
      </c>
      <c r="C20" s="51">
        <f>IF('Invoer - Jachtlaan'!$B67&lt;&gt;'Invoer - Jachtlaan'!$E67,IF('Invoer - Jachtlaan'!$B$92="Ja",Uitgangspunten!C41*'Invoer - Jachtlaan'!$B50+Uitgangspunten!C$44*'Invoer - Jachtlaan'!$B50,Uitgangspunten!C41*'Invoer - Jachtlaan'!$B50),"")</f>
        <v>5681</v>
      </c>
      <c r="D20" s="52"/>
      <c r="E20" s="50">
        <f>IF('Invoer - Jachtlaan'!$B67&lt;&gt;'Invoer - Jachtlaan'!$E67,Uitgangspunten!$B65*'Invoer - Jachtlaan'!$B50,"")</f>
        <v>687.69999999999993</v>
      </c>
      <c r="F20" s="51">
        <f>IF('Invoer - Jachtlaan'!$B67&lt;&gt;'Invoer - Jachtlaan'!$E67,Uitgangspunten!$C65*'Invoer - Jachtlaan'!$B50,"")</f>
        <v>1375.3999999999999</v>
      </c>
      <c r="G20" s="53"/>
      <c r="H20" s="54">
        <f>IF('Invoer - Jachtlaan'!$B67&lt;&gt;'Invoer - Jachtlaan'!$E67,('Invoer - Jachtlaan'!$B67)*'Invoer - Jachtlaan'!$B50*(Uitgangspunten!$B$8/Uitgangspunten!$B$9)*24*365.25/1000/'Invoer - Jachtlaan'!$B$12-('Invoer - Jachtlaan'!$E67)*'Invoer - Jachtlaan'!$B50*(Uitgangspunten!$B$8/Uitgangspunten!$B$9)*24*365.25/1000/'Invoer - Jachtlaan'!$B$12,"")</f>
        <v>8.8085769542514978</v>
      </c>
      <c r="I20" s="55">
        <f>IF(H20&lt;&gt;"",H20*'Invoer - Jachtlaan'!$B$12/9.8,"")</f>
        <v>150.10534197551021</v>
      </c>
    </row>
    <row r="21" spans="1:11" x14ac:dyDescent="0.25">
      <c r="A21" s="49" t="s">
        <v>30</v>
      </c>
      <c r="B21" s="50" t="str">
        <f>IF('Invoer - Jachtlaan'!$B68&lt;&gt;'Invoer - Jachtlaan'!$E68,IF('Invoer - Jachtlaan'!$B$92="Ja",Uitgangspunten!B42*'Invoer - Jachtlaan'!$B51+Uitgangspunten!B$44*'Invoer - Jachtlaan'!$B51,Uitgangspunten!B42*'Invoer - Jachtlaan'!$B51),"")</f>
        <v/>
      </c>
      <c r="C21" s="51" t="str">
        <f>IF('Invoer - Jachtlaan'!$B68&lt;&gt;'Invoer - Jachtlaan'!$E68,IF('Invoer - Jachtlaan'!$B$92="Ja",Uitgangspunten!C42*'Invoer - Jachtlaan'!$B51+Uitgangspunten!C$44*'Invoer - Jachtlaan'!$B51,Uitgangspunten!C42*'Invoer - Jachtlaan'!$B51),"")</f>
        <v/>
      </c>
      <c r="D21" s="52"/>
      <c r="E21" s="50" t="str">
        <f>IF('Invoer - Jachtlaan'!$B68&lt;&gt;'Invoer - Jachtlaan'!$E68,Uitgangspunten!$B66*'Invoer - Jachtlaan'!$B51,"")</f>
        <v/>
      </c>
      <c r="F21" s="51" t="str">
        <f>IF('Invoer - Jachtlaan'!$B68&lt;&gt;'Invoer - Jachtlaan'!$E68,Uitgangspunten!$C66*'Invoer - Jachtlaan'!$B51,"")</f>
        <v/>
      </c>
      <c r="G21" s="53"/>
      <c r="H21" s="54" t="str">
        <f>IF('Invoer - Jachtlaan'!$B68&lt;&gt;'Invoer - Jachtlaan'!$E68,('Invoer - Jachtlaan'!$B68)*'Invoer - Jachtlaan'!$B51*(Uitgangspunten!$B$8/Uitgangspunten!$B$9)*24*365.25/1000/'Invoer - Jachtlaan'!$B$12-('Invoer - Jachtlaan'!$E68)*'Invoer - Jachtlaan'!$B51*(Uitgangspunten!$B$8/Uitgangspunten!$B$9)*24*365.25/1000/'Invoer - Jachtlaan'!$B$12,"")</f>
        <v/>
      </c>
      <c r="I21" s="55" t="str">
        <f>IF(H21&lt;&gt;"",H21*'Invoer - Jachtlaan'!$B$12/9.8,"")</f>
        <v/>
      </c>
    </row>
    <row r="22" spans="1:11" x14ac:dyDescent="0.25">
      <c r="A22" s="49" t="s">
        <v>59</v>
      </c>
      <c r="B22" s="50" t="str">
        <f>IF('Invoer - Jachtlaan'!$B69&lt;&gt;'Invoer - Jachtlaan'!$E69,IF('Invoer - Jachtlaan'!$B$92="Ja",Uitgangspunten!B43+Uitgangspunten!B$44,Uitgangspunten!B43),"")</f>
        <v/>
      </c>
      <c r="C22" s="51" t="str">
        <f>IF('Invoer - Jachtlaan'!$B69&lt;&gt;'Invoer - Jachtlaan'!$E69,IF('Invoer - Jachtlaan'!$B$92="Ja",Uitgangspunten!C43+Uitgangspunten!C$44,Uitgangspunten!C43),"")</f>
        <v/>
      </c>
      <c r="D22" s="52"/>
      <c r="E22" s="50" t="str">
        <f>IF('Invoer - Jachtlaan'!$B69&lt;&gt;'Invoer - Jachtlaan'!$E69,Uitgangspunten!$B67*'Invoer - Jachtlaan'!$B52,"")</f>
        <v/>
      </c>
      <c r="F22" s="51" t="str">
        <f>IF('Invoer - Jachtlaan'!$B69&lt;&gt;'Invoer - Jachtlaan'!$E69,Uitgangspunten!$C67*'Invoer - Jachtlaan'!$B52,"")</f>
        <v/>
      </c>
      <c r="G22" s="53"/>
      <c r="H22" s="54" t="str">
        <f>IF('Invoer - Jachtlaan'!$B69&lt;&gt;'Invoer - Jachtlaan'!$E69,('Invoer - Jachtlaan'!$B69)*'Invoer - Jachtlaan'!$B52*(Uitgangspunten!$B$8/Uitgangspunten!$B$9)*24*365.25/1000/'Invoer - Jachtlaan'!$B$12-('Invoer - Jachtlaan'!$E69)*'Invoer - Jachtlaan'!$B52*(Uitgangspunten!$B$8/Uitgangspunten!$B$9)*24*365.25/1000/'Invoer - Jachtlaan'!$B$12,"")</f>
        <v/>
      </c>
      <c r="I22" s="55" t="str">
        <f>IF(H22&lt;&gt;"",H22*'Invoer - Jachtlaan'!$B$12/9.8,"")</f>
        <v/>
      </c>
    </row>
    <row r="23" spans="1:11" x14ac:dyDescent="0.25">
      <c r="A23" s="49" t="s">
        <v>60</v>
      </c>
      <c r="B23" s="50" t="str">
        <f>IF('Invoer - Jachtlaan'!$B70&lt;&gt;'Invoer - Jachtlaan'!$E70,IF('Invoer - Jachtlaan'!$B$92="Ja",Uitgangspunten!B44+Uitgangspunten!B$44,Uitgangspunten!B44),"")</f>
        <v/>
      </c>
      <c r="C23" s="51" t="str">
        <f>IF('Invoer - Jachtlaan'!$B70&lt;&gt;'Invoer - Jachtlaan'!$E70,IF('Invoer - Jachtlaan'!$B$92="Ja",Uitgangspunten!C44+Uitgangspunten!C$44,Uitgangspunten!C44),"")</f>
        <v/>
      </c>
      <c r="D23" s="52"/>
      <c r="E23" s="50" t="str">
        <f>IF('Invoer - Jachtlaan'!$B70&lt;&gt;'Invoer - Jachtlaan'!$E70,Uitgangspunten!$B68*'Invoer - Jachtlaan'!$B53,"")</f>
        <v/>
      </c>
      <c r="F23" s="51" t="str">
        <f>IF('Invoer - Jachtlaan'!$B70&lt;&gt;'Invoer - Jachtlaan'!$E70,Uitgangspunten!$C68*'Invoer - Jachtlaan'!$B53,"")</f>
        <v/>
      </c>
      <c r="G23" s="53"/>
      <c r="H23" s="54" t="str">
        <f>IF('Invoer - Jachtlaan'!$B70&lt;&gt;'Invoer - Jachtlaan'!$E70,('Invoer - Jachtlaan'!$B70)*'Invoer - Jachtlaan'!$B53*(Uitgangspunten!$B$8/Uitgangspunten!$B$9)*24*365.25/1000/'Invoer - Jachtlaan'!$B$12-('Invoer - Jachtlaan'!$E70)*'Invoer - Jachtlaan'!$B53*(Uitgangspunten!$B$8/Uitgangspunten!$B$9)*24*365.25/1000/'Invoer - Jachtlaan'!$B$12,"")</f>
        <v/>
      </c>
      <c r="I23" s="55" t="str">
        <f>IF(H23&lt;&gt;"",H23*'Invoer - Jachtlaan'!$B$12/9.8,"")</f>
        <v/>
      </c>
    </row>
    <row r="24" spans="1:11" x14ac:dyDescent="0.25">
      <c r="A24" s="49" t="s">
        <v>61</v>
      </c>
      <c r="B24" s="50" t="str">
        <f>IF('Invoer - Jachtlaan'!$B71&lt;&gt;'Invoer - Jachtlaan'!$E71,IF('Invoer - Jachtlaan'!$B$92="Ja",Uitgangspunten!B45+Uitgangspunten!B$44,Uitgangspunten!B45),"")</f>
        <v/>
      </c>
      <c r="C24" s="51" t="str">
        <f>IF('Invoer - Jachtlaan'!$B71&lt;&gt;'Invoer - Jachtlaan'!$E71,IF('Invoer - Jachtlaan'!$B$92="Ja",Uitgangspunten!C45+Uitgangspunten!C$44,Uitgangspunten!C45),"")</f>
        <v/>
      </c>
      <c r="D24" s="52"/>
      <c r="E24" s="50" t="str">
        <f>IF('Invoer - Jachtlaan'!$B71&lt;&gt;'Invoer - Jachtlaan'!$E71,Uitgangspunten!$B69*'Invoer - Jachtlaan'!$B54,"")</f>
        <v/>
      </c>
      <c r="F24" s="51" t="str">
        <f>IF('Invoer - Jachtlaan'!$B71&lt;&gt;'Invoer - Jachtlaan'!$E71,Uitgangspunten!$C69*'Invoer - Jachtlaan'!$B54,"")</f>
        <v/>
      </c>
      <c r="G24" s="53"/>
      <c r="H24" s="54" t="str">
        <f>IF('Invoer - Jachtlaan'!$B71&lt;&gt;'Invoer - Jachtlaan'!$E71,('Invoer - Jachtlaan'!$B71)*'Invoer - Jachtlaan'!$B54*(Uitgangspunten!$B$8/Uitgangspunten!$B$9)*24*365.25/1000/'Invoer - Jachtlaan'!$B$12-('Invoer - Jachtlaan'!$E71)*'Invoer - Jachtlaan'!$B54*(Uitgangspunten!$B$8/Uitgangspunten!$B$9)*24*365.25/1000/'Invoer - Jachtlaan'!$B$12,"")</f>
        <v/>
      </c>
      <c r="I24" s="55" t="str">
        <f>IF(H24&lt;&gt;"",H24*'Invoer - Jachtlaan'!$B$12/9.8,"")</f>
        <v/>
      </c>
    </row>
    <row r="25" spans="1:11" ht="15.75" thickBot="1" x14ac:dyDescent="0.3">
      <c r="A25" s="57" t="s">
        <v>69</v>
      </c>
      <c r="B25" s="58">
        <f>Uitgangspunten!B45</f>
        <v>2000</v>
      </c>
      <c r="C25" s="59">
        <f>Uitgangspunten!C45</f>
        <v>4000</v>
      </c>
      <c r="D25" s="60"/>
      <c r="E25" s="58">
        <v>0</v>
      </c>
      <c r="F25" s="59">
        <v>0</v>
      </c>
      <c r="G25" s="61"/>
      <c r="H25" s="62">
        <f>Uitgangspunten!B21*'Invoer - Jachtlaan'!B23*'Invoer - Jachtlaan'!B93*Uitgangspunten!B22</f>
        <v>6.3114494011976046</v>
      </c>
      <c r="I25" s="63">
        <f>IF(H25&lt;&gt;"",H25*'Invoer - Jachtlaan'!$B$12/9.8,"")</f>
        <v>107.55225</v>
      </c>
    </row>
    <row r="26" spans="1:11" s="41" customFormat="1" ht="16.5" thickTop="1" thickBot="1" x14ac:dyDescent="0.3">
      <c r="A26" s="64" t="s">
        <v>6</v>
      </c>
      <c r="B26" s="65">
        <f t="shared" ref="B26:F26" si="0">SUM(B14:B25)</f>
        <v>10571.6</v>
      </c>
      <c r="C26" s="66">
        <f t="shared" si="0"/>
        <v>23552.400000000001</v>
      </c>
      <c r="D26" s="67"/>
      <c r="E26" s="65">
        <f t="shared" si="0"/>
        <v>2310.4</v>
      </c>
      <c r="F26" s="66">
        <f t="shared" si="0"/>
        <v>4620.8</v>
      </c>
      <c r="G26" s="68"/>
      <c r="H26" s="69">
        <f>SUM(H14:H25)</f>
        <v>25.881781900775842</v>
      </c>
      <c r="I26" s="70">
        <f>SUM(I14:I25)</f>
        <v>441.04669157444545</v>
      </c>
    </row>
    <row r="27" spans="1:11" ht="15.75" thickTop="1" x14ac:dyDescent="0.25"/>
    <row r="28" spans="1:11" x14ac:dyDescent="0.25">
      <c r="A28" s="31" t="s">
        <v>65</v>
      </c>
      <c r="B28" s="31">
        <f>'Invoer - Jachtlaan'!B23</f>
        <v>110.31</v>
      </c>
    </row>
    <row r="29" spans="1:11" x14ac:dyDescent="0.25">
      <c r="A29" s="31" t="s">
        <v>67</v>
      </c>
      <c r="B29" s="31">
        <f>'Invoer - Jachtlaan'!B24</f>
        <v>133.5</v>
      </c>
    </row>
    <row r="30" spans="1:11" x14ac:dyDescent="0.25">
      <c r="A30" s="31" t="s">
        <v>68</v>
      </c>
      <c r="B30" s="31">
        <f>'Invoer - Jachtlaan'!B25</f>
        <v>71</v>
      </c>
    </row>
    <row r="31" spans="1:11" x14ac:dyDescent="0.25">
      <c r="A31" s="41" t="s">
        <v>66</v>
      </c>
      <c r="B31" s="71">
        <f>B28-H26</f>
        <v>84.428218099224154</v>
      </c>
    </row>
    <row r="35" spans="5:6" x14ac:dyDescent="0.25">
      <c r="E35" s="72"/>
      <c r="F35" s="72"/>
    </row>
    <row r="36" spans="5:6" x14ac:dyDescent="0.25">
      <c r="E36" s="72"/>
      <c r="F36" s="72"/>
    </row>
  </sheetData>
  <sheetProtection algorithmName="SHA-512" hashValue="m2fSkRgNkYF+L0dzeRBGI/f8JdK3+mwi6OgvK7OLrl8L82zMSr3Um4BNva2koYI/D1AQ/swBPWwUOctD64J1wQ==" saltValue="GTwdF9NKD63bPJydtLMmyQ==" spinCount="100000" sheet="1" objects="1" scenarios="1"/>
  <mergeCells count="3">
    <mergeCell ref="B12:C12"/>
    <mergeCell ref="E12:F12"/>
    <mergeCell ref="H12:I12"/>
  </mergeCells>
  <phoneticPr fontId="2" type="noConversion"/>
  <conditionalFormatting sqref="B29">
    <cfRule type="expression" dxfId="11" priority="9" stopIfTrue="1">
      <formula>AND($B$29&gt;=$B$31)</formula>
    </cfRule>
    <cfRule type="expression" dxfId="10" priority="10" stopIfTrue="1">
      <formula>AND(($B$29+$B$29*0.1)&gt;=$B$31)</formula>
    </cfRule>
    <cfRule type="expression" dxfId="9" priority="11" stopIfTrue="1">
      <formula>AND(($B$29+$B$29*0.1)&lt;$B$31)</formula>
    </cfRule>
  </conditionalFormatting>
  <conditionalFormatting sqref="B30">
    <cfRule type="expression" dxfId="8" priority="12" stopIfTrue="1">
      <formula>AND($B$30&gt;=$B$31)</formula>
    </cfRule>
    <cfRule type="expression" dxfId="7" priority="13" stopIfTrue="1">
      <formula>OR(($B$31-$B$30)&lt;=10,$B$31&lt;=$B$30+$B$30*0.2)</formula>
    </cfRule>
    <cfRule type="expression" dxfId="6" priority="14" stopIfTrue="1">
      <formula>OR(($B$31-$B$30)&gt;10,$B$31&gt;$B$30+$B$30*0.2)</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1FF4-8029-4206-9969-642D3F68B054}">
  <sheetPr codeName="Blad8"/>
  <dimension ref="A8:K93"/>
  <sheetViews>
    <sheetView topLeftCell="A28" workbookViewId="0">
      <selection activeCell="H76" sqref="H76"/>
    </sheetView>
  </sheetViews>
  <sheetFormatPr defaultRowHeight="15" x14ac:dyDescent="0.25"/>
  <cols>
    <col min="1" max="1" width="38.140625" style="1" customWidth="1"/>
    <col min="2" max="2" width="13.85546875" style="2" bestFit="1" customWidth="1"/>
    <col min="3" max="3" width="12.7109375" style="3" bestFit="1" customWidth="1"/>
    <col min="4" max="4" width="2.7109375" style="3" customWidth="1"/>
    <col min="5" max="5" width="12.7109375" style="2" customWidth="1"/>
    <col min="6" max="6" width="9.85546875" style="3" customWidth="1"/>
    <col min="7" max="7" width="2.7109375" style="3" customWidth="1"/>
    <col min="8" max="10" width="9.140625" style="3"/>
    <col min="11" max="11" width="15.140625" style="3" customWidth="1"/>
    <col min="12" max="16384" width="9.140625" style="3"/>
  </cols>
  <sheetData>
    <row r="8" spans="1:3" x14ac:dyDescent="0.25">
      <c r="A8" s="1" t="s">
        <v>16</v>
      </c>
    </row>
    <row r="9" spans="1:3" x14ac:dyDescent="0.25">
      <c r="A9" s="4" t="s">
        <v>7</v>
      </c>
      <c r="B9" s="73"/>
    </row>
    <row r="10" spans="1:3" x14ac:dyDescent="0.25">
      <c r="A10" s="4" t="s">
        <v>8</v>
      </c>
      <c r="B10" s="73"/>
    </row>
    <row r="11" spans="1:3" x14ac:dyDescent="0.25">
      <c r="A11" s="4" t="s">
        <v>9</v>
      </c>
      <c r="B11" s="73"/>
    </row>
    <row r="12" spans="1:3" x14ac:dyDescent="0.25">
      <c r="A12" s="4" t="s">
        <v>10</v>
      </c>
      <c r="B12" s="73"/>
      <c r="C12" s="3" t="s">
        <v>3</v>
      </c>
    </row>
    <row r="13" spans="1:3" x14ac:dyDescent="0.25">
      <c r="A13" s="4" t="s">
        <v>11</v>
      </c>
      <c r="B13" s="73"/>
    </row>
    <row r="14" spans="1:3" x14ac:dyDescent="0.25">
      <c r="A14" s="4"/>
    </row>
    <row r="15" spans="1:3" x14ac:dyDescent="0.25">
      <c r="A15" s="4"/>
    </row>
    <row r="16" spans="1:3" x14ac:dyDescent="0.25">
      <c r="A16" s="4"/>
    </row>
    <row r="17" spans="1:3" x14ac:dyDescent="0.25">
      <c r="A17" s="4"/>
    </row>
    <row r="18" spans="1:3" x14ac:dyDescent="0.25">
      <c r="A18" s="4"/>
    </row>
    <row r="19" spans="1:3" x14ac:dyDescent="0.25">
      <c r="A19" s="4"/>
    </row>
    <row r="21" spans="1:3" x14ac:dyDescent="0.25">
      <c r="A21" s="1" t="s">
        <v>17</v>
      </c>
    </row>
    <row r="22" spans="1:3" x14ac:dyDescent="0.25">
      <c r="A22" s="4" t="s">
        <v>12</v>
      </c>
      <c r="B22" s="73"/>
      <c r="C22" s="3" t="s">
        <v>13</v>
      </c>
    </row>
    <row r="23" spans="1:3" x14ac:dyDescent="0.25">
      <c r="A23" s="4" t="s">
        <v>14</v>
      </c>
      <c r="B23" s="73"/>
      <c r="C23" s="3" t="s">
        <v>13</v>
      </c>
    </row>
    <row r="24" spans="1:3" x14ac:dyDescent="0.25">
      <c r="A24" s="4" t="s">
        <v>43</v>
      </c>
      <c r="B24" s="2" t="str">
        <f>IF(AND(B22&lt;&gt;"",B11&lt;&gt;""),60+105*(B11-1),"")</f>
        <v/>
      </c>
      <c r="C24" s="3" t="s">
        <v>13</v>
      </c>
    </row>
    <row r="25" spans="1:3" x14ac:dyDescent="0.25">
      <c r="A25" s="4" t="s">
        <v>44</v>
      </c>
      <c r="B25" s="2" t="str">
        <f>IF(AND(B22&lt;&gt;"",B11&lt;&gt;""),43+40*(B11-1),"")</f>
        <v/>
      </c>
      <c r="C25" s="3" t="s">
        <v>13</v>
      </c>
    </row>
    <row r="26" spans="1:3" x14ac:dyDescent="0.25">
      <c r="A26" s="4"/>
    </row>
    <row r="27" spans="1:3" x14ac:dyDescent="0.25">
      <c r="A27" s="4"/>
    </row>
    <row r="28" spans="1:3" x14ac:dyDescent="0.25">
      <c r="A28" s="4"/>
    </row>
    <row r="29" spans="1:3" x14ac:dyDescent="0.25">
      <c r="A29" s="4"/>
    </row>
    <row r="30" spans="1:3" x14ac:dyDescent="0.25">
      <c r="A30" s="4"/>
    </row>
    <row r="31" spans="1:3" x14ac:dyDescent="0.25">
      <c r="A31" s="4"/>
    </row>
    <row r="32" spans="1:3" x14ac:dyDescent="0.25">
      <c r="A32" s="4"/>
    </row>
    <row r="33" spans="1:3" x14ac:dyDescent="0.25">
      <c r="A33" s="4"/>
    </row>
    <row r="34" spans="1:3" x14ac:dyDescent="0.25">
      <c r="A34" s="4"/>
    </row>
    <row r="35" spans="1:3" x14ac:dyDescent="0.25">
      <c r="A35" s="4"/>
    </row>
    <row r="36" spans="1:3" x14ac:dyDescent="0.25">
      <c r="A36" s="4"/>
    </row>
    <row r="37" spans="1:3" x14ac:dyDescent="0.25">
      <c r="A37" s="4"/>
    </row>
    <row r="38" spans="1:3" x14ac:dyDescent="0.25">
      <c r="A38" s="4"/>
    </row>
    <row r="39" spans="1:3" x14ac:dyDescent="0.25">
      <c r="A39" s="4"/>
    </row>
    <row r="40" spans="1:3" x14ac:dyDescent="0.25">
      <c r="A40" s="4"/>
    </row>
    <row r="41" spans="1:3" x14ac:dyDescent="0.25">
      <c r="A41" s="4"/>
    </row>
    <row r="42" spans="1:3" x14ac:dyDescent="0.25">
      <c r="A42" s="4"/>
    </row>
    <row r="43" spans="1:3" x14ac:dyDescent="0.25">
      <c r="A43" s="4"/>
    </row>
    <row r="44" spans="1:3" x14ac:dyDescent="0.25">
      <c r="A44" s="1" t="s">
        <v>18</v>
      </c>
    </row>
    <row r="45" spans="1:3" x14ac:dyDescent="0.25">
      <c r="A45" s="4" t="s">
        <v>15</v>
      </c>
      <c r="B45" s="73"/>
      <c r="C45" s="3" t="s">
        <v>3</v>
      </c>
    </row>
    <row r="46" spans="1:3" x14ac:dyDescent="0.25">
      <c r="A46" s="4" t="s">
        <v>23</v>
      </c>
      <c r="B46" s="73"/>
      <c r="C46" s="3" t="s">
        <v>3</v>
      </c>
    </row>
    <row r="47" spans="1:3" x14ac:dyDescent="0.25">
      <c r="A47" s="4" t="s">
        <v>24</v>
      </c>
      <c r="B47" s="73"/>
      <c r="C47" s="3" t="s">
        <v>3</v>
      </c>
    </row>
    <row r="48" spans="1:3" x14ac:dyDescent="0.25">
      <c r="A48" s="4" t="s">
        <v>25</v>
      </c>
      <c r="B48" s="73"/>
      <c r="C48" s="3" t="s">
        <v>3</v>
      </c>
    </row>
    <row r="49" spans="1:11" x14ac:dyDescent="0.25">
      <c r="A49" s="4" t="s">
        <v>28</v>
      </c>
      <c r="B49" s="73"/>
      <c r="C49" s="3" t="s">
        <v>3</v>
      </c>
    </row>
    <row r="50" spans="1:11" x14ac:dyDescent="0.25">
      <c r="A50" s="4" t="s">
        <v>31</v>
      </c>
      <c r="B50" s="73"/>
      <c r="C50" s="3" t="s">
        <v>3</v>
      </c>
    </row>
    <row r="51" spans="1:11" x14ac:dyDescent="0.25">
      <c r="A51" s="4" t="s">
        <v>30</v>
      </c>
      <c r="B51" s="73"/>
      <c r="C51" s="3" t="s">
        <v>3</v>
      </c>
    </row>
    <row r="52" spans="1:11" x14ac:dyDescent="0.25">
      <c r="A52" s="4" t="s">
        <v>59</v>
      </c>
      <c r="B52" s="73"/>
      <c r="C52" s="3" t="s">
        <v>3</v>
      </c>
    </row>
    <row r="53" spans="1:11" x14ac:dyDescent="0.25">
      <c r="A53" s="4" t="s">
        <v>60</v>
      </c>
      <c r="B53" s="73"/>
      <c r="C53" s="3" t="s">
        <v>3</v>
      </c>
    </row>
    <row r="54" spans="1:11" x14ac:dyDescent="0.25">
      <c r="A54" s="4" t="s">
        <v>61</v>
      </c>
      <c r="B54" s="73"/>
      <c r="C54" s="3" t="s">
        <v>3</v>
      </c>
    </row>
    <row r="55" spans="1:11" x14ac:dyDescent="0.25">
      <c r="A55" s="4"/>
    </row>
    <row r="56" spans="1:11" x14ac:dyDescent="0.25">
      <c r="A56" s="4"/>
    </row>
    <row r="57" spans="1:11" x14ac:dyDescent="0.25">
      <c r="A57" s="4"/>
    </row>
    <row r="58" spans="1:11" x14ac:dyDescent="0.25">
      <c r="A58" s="4"/>
    </row>
    <row r="59" spans="1:11" x14ac:dyDescent="0.25">
      <c r="A59" s="4"/>
    </row>
    <row r="60" spans="1:11" x14ac:dyDescent="0.25">
      <c r="A60" s="4"/>
    </row>
    <row r="61" spans="1:11" x14ac:dyDescent="0.25">
      <c r="A61" s="1" t="s">
        <v>19</v>
      </c>
      <c r="B61" s="5" t="s">
        <v>35</v>
      </c>
      <c r="E61" s="5" t="s">
        <v>75</v>
      </c>
      <c r="H61" s="1" t="s">
        <v>40</v>
      </c>
    </row>
    <row r="62" spans="1:11" x14ac:dyDescent="0.25">
      <c r="A62" s="4" t="s">
        <v>20</v>
      </c>
      <c r="B62" s="73"/>
      <c r="C62" s="3" t="s">
        <v>21</v>
      </c>
      <c r="E62" s="73"/>
      <c r="F62" s="3" t="s">
        <v>21</v>
      </c>
      <c r="H62" s="2">
        <v>6</v>
      </c>
      <c r="I62" s="3" t="s">
        <v>21</v>
      </c>
      <c r="K62" s="6"/>
    </row>
    <row r="63" spans="1:11" x14ac:dyDescent="0.25">
      <c r="A63" s="4" t="s">
        <v>22</v>
      </c>
      <c r="B63" s="73"/>
      <c r="C63" s="3" t="s">
        <v>4</v>
      </c>
      <c r="E63" s="73"/>
      <c r="F63" s="3" t="s">
        <v>4</v>
      </c>
      <c r="H63" s="2">
        <v>1.4</v>
      </c>
      <c r="I63" s="3" t="s">
        <v>4</v>
      </c>
      <c r="K63" s="6"/>
    </row>
    <row r="64" spans="1:11" x14ac:dyDescent="0.25">
      <c r="A64" s="4" t="s">
        <v>26</v>
      </c>
      <c r="B64" s="73"/>
      <c r="C64" s="3" t="s">
        <v>21</v>
      </c>
      <c r="E64" s="73"/>
      <c r="F64" s="3" t="s">
        <v>21</v>
      </c>
      <c r="H64" s="2">
        <v>8</v>
      </c>
      <c r="I64" s="3" t="s">
        <v>21</v>
      </c>
      <c r="K64" s="6"/>
    </row>
    <row r="65" spans="1:11" x14ac:dyDescent="0.25">
      <c r="A65" s="4" t="s">
        <v>27</v>
      </c>
      <c r="B65" s="74"/>
      <c r="C65" s="3" t="s">
        <v>21</v>
      </c>
      <c r="E65" s="73"/>
      <c r="F65" s="3" t="s">
        <v>21</v>
      </c>
      <c r="H65" s="2">
        <v>8</v>
      </c>
      <c r="I65" s="3" t="s">
        <v>21</v>
      </c>
      <c r="K65" s="6"/>
    </row>
    <row r="66" spans="1:11" x14ac:dyDescent="0.25">
      <c r="A66" s="4" t="s">
        <v>29</v>
      </c>
      <c r="B66" s="74"/>
      <c r="C66" s="3" t="s">
        <v>21</v>
      </c>
      <c r="E66" s="73"/>
      <c r="F66" s="3" t="s">
        <v>21</v>
      </c>
      <c r="H66" s="2">
        <v>3.5</v>
      </c>
      <c r="I66" s="3" t="s">
        <v>21</v>
      </c>
      <c r="K66" s="6"/>
    </row>
    <row r="67" spans="1:11" x14ac:dyDescent="0.25">
      <c r="A67" s="4" t="s">
        <v>32</v>
      </c>
      <c r="B67" s="74"/>
      <c r="C67" s="3" t="s">
        <v>4</v>
      </c>
      <c r="E67" s="73"/>
      <c r="F67" s="3" t="s">
        <v>4</v>
      </c>
      <c r="H67" s="2">
        <v>1</v>
      </c>
      <c r="I67" s="3" t="s">
        <v>4</v>
      </c>
      <c r="K67" s="6"/>
    </row>
    <row r="68" spans="1:11" x14ac:dyDescent="0.25">
      <c r="A68" s="4" t="s">
        <v>33</v>
      </c>
      <c r="B68" s="73"/>
      <c r="C68" s="3" t="s">
        <v>4</v>
      </c>
      <c r="E68" s="73"/>
      <c r="F68" s="3" t="s">
        <v>4</v>
      </c>
      <c r="H68" s="2">
        <v>1</v>
      </c>
      <c r="I68" s="3" t="s">
        <v>4</v>
      </c>
      <c r="K68" s="6"/>
    </row>
    <row r="69" spans="1:11" x14ac:dyDescent="0.25">
      <c r="A69" s="4" t="s">
        <v>62</v>
      </c>
      <c r="B69" s="73"/>
      <c r="C69" s="3" t="s">
        <v>4</v>
      </c>
      <c r="E69" s="73"/>
      <c r="F69" s="3" t="s">
        <v>4</v>
      </c>
      <c r="H69" s="2">
        <v>1.4</v>
      </c>
      <c r="I69" s="3" t="s">
        <v>4</v>
      </c>
      <c r="K69" s="6"/>
    </row>
    <row r="70" spans="1:11" x14ac:dyDescent="0.25">
      <c r="A70" s="4" t="s">
        <v>63</v>
      </c>
      <c r="B70" s="73"/>
      <c r="C70" s="3" t="s">
        <v>4</v>
      </c>
      <c r="E70" s="73"/>
      <c r="F70" s="3" t="s">
        <v>4</v>
      </c>
      <c r="H70" s="2">
        <v>1.4</v>
      </c>
      <c r="I70" s="3" t="s">
        <v>4</v>
      </c>
      <c r="K70" s="6"/>
    </row>
    <row r="71" spans="1:11" x14ac:dyDescent="0.25">
      <c r="A71" s="4" t="s">
        <v>64</v>
      </c>
      <c r="B71" s="73"/>
      <c r="C71" s="3" t="s">
        <v>4</v>
      </c>
      <c r="E71" s="73"/>
      <c r="F71" s="3" t="s">
        <v>4</v>
      </c>
      <c r="H71" s="2">
        <v>1.4</v>
      </c>
      <c r="I71" s="3" t="s">
        <v>4</v>
      </c>
    </row>
    <row r="72" spans="1:11" x14ac:dyDescent="0.25">
      <c r="A72" s="4"/>
      <c r="H72" s="2"/>
    </row>
    <row r="73" spans="1:11" x14ac:dyDescent="0.25">
      <c r="A73" s="4"/>
      <c r="H73" s="2"/>
    </row>
    <row r="74" spans="1:11" x14ac:dyDescent="0.25">
      <c r="A74" s="4"/>
      <c r="H74" s="2"/>
    </row>
    <row r="75" spans="1:11" x14ac:dyDescent="0.25">
      <c r="A75" s="4"/>
      <c r="H75" s="2"/>
    </row>
    <row r="76" spans="1:11" x14ac:dyDescent="0.25">
      <c r="A76" s="4"/>
      <c r="H76" s="2"/>
    </row>
    <row r="77" spans="1:11" x14ac:dyDescent="0.25">
      <c r="A77" s="4"/>
    </row>
    <row r="78" spans="1:11" x14ac:dyDescent="0.25">
      <c r="A78" s="4"/>
    </row>
    <row r="79" spans="1:11" x14ac:dyDescent="0.25">
      <c r="A79" s="4"/>
    </row>
    <row r="80" spans="1:11"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x14ac:dyDescent="0.25">
      <c r="A87" s="4"/>
    </row>
    <row r="88" spans="1:2" x14ac:dyDescent="0.25">
      <c r="A88" s="4"/>
    </row>
    <row r="89" spans="1:2" x14ac:dyDescent="0.25">
      <c r="A89" s="4"/>
    </row>
    <row r="90" spans="1:2" x14ac:dyDescent="0.25">
      <c r="A90" s="1" t="s">
        <v>55</v>
      </c>
    </row>
    <row r="91" spans="1:2" x14ac:dyDescent="0.25">
      <c r="A91" s="4" t="s">
        <v>42</v>
      </c>
      <c r="B91" s="73"/>
    </row>
    <row r="92" spans="1:2" x14ac:dyDescent="0.25">
      <c r="A92" s="4" t="s">
        <v>56</v>
      </c>
      <c r="B92" s="73"/>
    </row>
    <row r="93" spans="1:2" x14ac:dyDescent="0.25">
      <c r="A93" s="4" t="s">
        <v>74</v>
      </c>
      <c r="B93" s="75" t="str">
        <f>IFERROR('Invoer - Uw woning'!B49/'Invoer - Uw woning'!B12,"")</f>
        <v/>
      </c>
    </row>
  </sheetData>
  <sheetProtection algorithmName="SHA-512" hashValue="gpycM99+8oQ8tnTOypm+e1DfaffEuphTjGisuao9L4Kvdiaq7g+E62UYn3WDewdO8FaQUkpgmWTfxoHPq82VzQ==" saltValue="1sskDmzim9BoCy0jWEw4Pg==" spinCount="100000" sheet="1" objects="1" scenario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ADDC17-9DCD-4EC7-9BCD-0A4E05F9E58D}">
          <x14:formula1>
            <xm:f>Lijsten!$A$1:$A$5</xm:f>
          </x14:formula1>
          <xm:sqref>B13</xm:sqref>
        </x14:dataValidation>
        <x14:dataValidation type="list" allowBlank="1" showInputMessage="1" showErrorMessage="1" xr:uid="{2548CFD8-D548-473F-834D-7871A68D1428}">
          <x14:formula1>
            <xm:f>Lijsten!$C$1:$C$3</xm:f>
          </x14:formula1>
          <xm:sqref>B91</xm:sqref>
        </x14:dataValidation>
        <x14:dataValidation type="list" allowBlank="1" showInputMessage="1" showErrorMessage="1" xr:uid="{868433F8-F218-4242-AAFC-74FDBE801223}">
          <x14:formula1>
            <xm:f>Lijsten!$C$1:$C$2</xm:f>
          </x14:formula1>
          <xm:sqref>B92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A856-38A0-4C3E-BA1F-655ECA041072}">
  <sheetPr codeName="Blad9"/>
  <dimension ref="A1:K36"/>
  <sheetViews>
    <sheetView topLeftCell="A13" workbookViewId="0">
      <selection activeCell="B30" sqref="B30"/>
    </sheetView>
  </sheetViews>
  <sheetFormatPr defaultRowHeight="15" x14ac:dyDescent="0.25"/>
  <cols>
    <col min="1" max="1" width="36.140625" style="31" bestFit="1" customWidth="1"/>
    <col min="2" max="2" width="12.7109375" style="31" customWidth="1"/>
    <col min="3" max="3" width="13.28515625" style="31" customWidth="1"/>
    <col min="4" max="4" width="3" style="31" customWidth="1"/>
    <col min="5" max="6" width="16" style="31" customWidth="1"/>
    <col min="7" max="7" width="4.5703125" style="31" customWidth="1"/>
    <col min="8" max="8" width="19.28515625" style="31" customWidth="1"/>
    <col min="9" max="9" width="21" style="31" customWidth="1"/>
    <col min="10" max="16384" width="9.140625" style="31"/>
  </cols>
  <sheetData>
    <row r="1" spans="1:9" ht="15.75" customHeight="1" x14ac:dyDescent="0.25"/>
    <row r="2" spans="1:9" ht="15.75" customHeight="1" x14ac:dyDescent="0.25"/>
    <row r="3" spans="1:9" ht="15.75" customHeight="1" x14ac:dyDescent="0.25"/>
    <row r="4" spans="1:9" ht="15.75" customHeight="1" x14ac:dyDescent="0.25"/>
    <row r="5" spans="1:9" ht="15.75" customHeight="1" x14ac:dyDescent="0.25"/>
    <row r="6" spans="1:9" ht="15.75" customHeight="1" x14ac:dyDescent="0.25"/>
    <row r="7" spans="1:9" ht="15.75" customHeight="1" x14ac:dyDescent="0.25"/>
    <row r="8" spans="1:9" ht="15.75" customHeight="1" x14ac:dyDescent="0.35">
      <c r="A8" s="32"/>
    </row>
    <row r="9" spans="1:9" ht="15.75" customHeight="1" x14ac:dyDescent="0.35">
      <c r="A9" s="32"/>
    </row>
    <row r="10" spans="1:9" ht="15.75" customHeight="1" x14ac:dyDescent="0.35">
      <c r="A10" s="32"/>
    </row>
    <row r="11" spans="1:9" ht="15.75" customHeight="1" thickBot="1" x14ac:dyDescent="0.4">
      <c r="A11" s="32"/>
    </row>
    <row r="12" spans="1:9" ht="31.5" customHeight="1" thickTop="1" x14ac:dyDescent="0.25">
      <c r="A12" s="33"/>
      <c r="B12" s="83" t="s">
        <v>36</v>
      </c>
      <c r="C12" s="84"/>
      <c r="D12" s="34"/>
      <c r="E12" s="85" t="s">
        <v>72</v>
      </c>
      <c r="F12" s="86"/>
      <c r="G12" s="34"/>
      <c r="H12" s="83" t="s">
        <v>39</v>
      </c>
      <c r="I12" s="84"/>
    </row>
    <row r="13" spans="1:9" s="41" customFormat="1" ht="49.5" customHeight="1" thickBot="1" x14ac:dyDescent="0.3">
      <c r="A13" s="35" t="s">
        <v>81</v>
      </c>
      <c r="B13" s="36" t="s">
        <v>37</v>
      </c>
      <c r="C13" s="37" t="s">
        <v>38</v>
      </c>
      <c r="D13" s="38"/>
      <c r="E13" s="36" t="s">
        <v>37</v>
      </c>
      <c r="F13" s="37" t="s">
        <v>38</v>
      </c>
      <c r="G13" s="38"/>
      <c r="H13" s="39" t="s">
        <v>53</v>
      </c>
      <c r="I13" s="40" t="s">
        <v>89</v>
      </c>
    </row>
    <row r="14" spans="1:9" ht="15.75" thickTop="1" x14ac:dyDescent="0.25">
      <c r="A14" s="42" t="s">
        <v>41</v>
      </c>
      <c r="B14" s="43" t="str">
        <f>IF('Invoer - Uw woning'!$B$91="Nee",370,IF(OR('Invoer - Uw woning'!$B$91="Ja",'Invoer - Uw woning'!$B$91="Onbekend"),0,""))</f>
        <v/>
      </c>
      <c r="C14" s="44" t="str">
        <f>IF('Invoer - Uw woning'!$B$91="Nee",2700,IF('Invoer - Uw woning'!$B$91="Onbekend",2700,IF('Invoer - Uw woning'!B91="Ja",0,"")))</f>
        <v/>
      </c>
      <c r="D14" s="45"/>
      <c r="E14" s="43" t="str">
        <f>IF(I14&lt;&gt;"",0,"")</f>
        <v/>
      </c>
      <c r="F14" s="44" t="str">
        <f>IF(I14&lt;&gt;"",0,"")</f>
        <v/>
      </c>
      <c r="G14" s="46"/>
      <c r="H14" s="47" t="str">
        <f>IF(I14&lt;&gt;"",I14*9.8/'Invoer - Uw woning'!B12,"")</f>
        <v/>
      </c>
      <c r="I14" s="48" t="str">
        <f>IF(AND(C14&lt;&gt;0,C14&lt;&gt;""),50,"")</f>
        <v/>
      </c>
    </row>
    <row r="15" spans="1:9" x14ac:dyDescent="0.25">
      <c r="A15" s="49" t="s">
        <v>15</v>
      </c>
      <c r="B15" s="50" t="str">
        <f>IF('Invoer - Uw woning'!$B62&lt;&gt;'Invoer - Uw woning'!$E62,Uitgangspunten!$B36*'Invoer - Uw woning'!$B45,"")</f>
        <v/>
      </c>
      <c r="C15" s="51" t="str">
        <f>IF('Invoer - Uw woning'!$B62&lt;&gt;'Invoer - Uw woning'!$E62,Uitgangspunten!$C36*'Invoer - Uw woning'!$B45,"")</f>
        <v/>
      </c>
      <c r="D15" s="52"/>
      <c r="E15" s="50" t="str">
        <f>IF('Invoer - Uw woning'!$B62&lt;&gt;'Invoer - Uw woning'!$E62,Uitgangspunten!$B60*'Invoer - Uw woning'!$B45,"")</f>
        <v/>
      </c>
      <c r="F15" s="51" t="str">
        <f>IF('Invoer - Uw woning'!$B62&lt;&gt;'Invoer - Uw woning'!$E62,Uitgangspunten!$C60*'Invoer - Uw woning'!$B45,"")</f>
        <v/>
      </c>
      <c r="G15" s="53"/>
      <c r="H15" s="54" t="str">
        <f>IF('Invoer - Uw woning'!$B62&lt;&gt;'Invoer - Uw woning'!$E62,(1/'Invoer - Uw woning'!$B62)*'Invoer - Uw woning'!$B45*(Uitgangspunten!$B$8/Uitgangspunten!$B$9)*24*365.25/1000/'Invoer - Uw woning'!$B$12-(1/'Invoer - Uw woning'!$E62)*'Invoer - Uw woning'!$B45*(Uitgangspunten!$B$8/Uitgangspunten!$B$9)*24*365.25/1000/'Invoer - Uw woning'!$B$12,"")</f>
        <v/>
      </c>
      <c r="I15" s="55" t="str">
        <f>IF(H15&lt;&gt;"",H15*'Invoer - Uw woning'!$B$12/9.8,"")</f>
        <v/>
      </c>
    </row>
    <row r="16" spans="1:9" x14ac:dyDescent="0.25">
      <c r="A16" s="49" t="s">
        <v>23</v>
      </c>
      <c r="B16" s="50" t="str">
        <f>IF('Invoer - Uw woning'!$B63&lt;&gt;'Invoer - Uw woning'!$E63,Uitgangspunten!$B37*'Invoer - Uw woning'!$B46,"")</f>
        <v/>
      </c>
      <c r="C16" s="51" t="str">
        <f>IF('Invoer - Uw woning'!$B63&lt;&gt;'Invoer - Uw woning'!$E63,Uitgangspunten!$C37*'Invoer - Uw woning'!$B46,"")</f>
        <v/>
      </c>
      <c r="D16" s="52"/>
      <c r="E16" s="50" t="str">
        <f>IF('Invoer - Uw woning'!$B63&lt;&gt;'Invoer - Uw woning'!$E63,Uitgangspunten!$B61*'Invoer - Uw woning'!$B46,"")</f>
        <v/>
      </c>
      <c r="F16" s="51" t="str">
        <f>IF('Invoer - Uw woning'!$B63&lt;&gt;'Invoer - Uw woning'!$E63,Uitgangspunten!$C61*'Invoer - Uw woning'!$B46,"")</f>
        <v/>
      </c>
      <c r="G16" s="53"/>
      <c r="H16" s="54" t="str">
        <f>IF('Invoer - Uw woning'!$B63&lt;&gt;'Invoer - Uw woning'!$E63,('Invoer - Uw woning'!$B63)*'Invoer - Uw woning'!$B46*(Uitgangspunten!$B$8/Uitgangspunten!$B$9)*24*365.25/1000/'Invoer - Uw woning'!$B$12-('Invoer - Uw woning'!$E63)*'Invoer - Uw woning'!$B46*(Uitgangspunten!$B$8/Uitgangspunten!$B$9)*24*365.25/1000/'Invoer - Uw woning'!$B$12,"")</f>
        <v/>
      </c>
      <c r="I16" s="55" t="str">
        <f>IF(H16&lt;&gt;"",H16*'Invoer - Uw woning'!$B$12/9.8,"")</f>
        <v/>
      </c>
    </row>
    <row r="17" spans="1:11" x14ac:dyDescent="0.25">
      <c r="A17" s="49" t="s">
        <v>24</v>
      </c>
      <c r="B17" s="50" t="str">
        <f>IF('Invoer - Uw woning'!$B64&lt;&gt;'Invoer - Uw woning'!$E64,Uitgangspunten!$B38*'Invoer - Uw woning'!$B47,"")</f>
        <v/>
      </c>
      <c r="C17" s="51" t="str">
        <f>IF('Invoer - Uw woning'!$B64&lt;&gt;'Invoer - Uw woning'!$E64,Uitgangspunten!$C38*'Invoer - Uw woning'!$B47,"")</f>
        <v/>
      </c>
      <c r="D17" s="52"/>
      <c r="E17" s="50" t="str">
        <f>IF('Invoer - Uw woning'!$B64&lt;&gt;'Invoer - Uw woning'!$E64,Uitgangspunten!$B62*'Invoer - Uw woning'!$B47,"")</f>
        <v/>
      </c>
      <c r="F17" s="51" t="str">
        <f>IF('Invoer - Uw woning'!$B64&lt;&gt;'Invoer - Uw woning'!$E64,Uitgangspunten!$C62*'Invoer - Uw woning'!$B47,"")</f>
        <v/>
      </c>
      <c r="G17" s="53"/>
      <c r="H17" s="54" t="str">
        <f>IF('Invoer - Uw woning'!$B64&lt;&gt;'Invoer - Uw woning'!$E64,(1/'Invoer - Uw woning'!$B64)*'Invoer - Uw woning'!$B47*(Uitgangspunten!$B$8/Uitgangspunten!$B$9)*24*365.25/1000/'Invoer - Uw woning'!$B$12-(1/'Invoer - Uw woning'!$E64)*'Invoer - Uw woning'!$B47*(Uitgangspunten!$B$8/Uitgangspunten!$B$9)*24*365.25/1000/'Invoer - Uw woning'!$B$12,"")</f>
        <v/>
      </c>
      <c r="I17" s="55" t="str">
        <f>IF(H17&lt;&gt;"",H17*'Invoer - Uw woning'!$B$12/9.8,"")</f>
        <v/>
      </c>
    </row>
    <row r="18" spans="1:11" x14ac:dyDescent="0.25">
      <c r="A18" s="49" t="s">
        <v>25</v>
      </c>
      <c r="B18" s="50" t="str">
        <f>IF('Invoer - Uw woning'!$B65&lt;&gt;'Invoer - Uw woning'!$E65,Uitgangspunten!$B39*'Invoer - Uw woning'!$B48,"")</f>
        <v/>
      </c>
      <c r="C18" s="51" t="str">
        <f>IF('Invoer - Uw woning'!$B65&lt;&gt;'Invoer - Uw woning'!$E65,Uitgangspunten!$C39*'Invoer - Uw woning'!$B48,"")</f>
        <v/>
      </c>
      <c r="D18" s="52"/>
      <c r="E18" s="50" t="str">
        <f>IF('Invoer - Uw woning'!$B65&lt;&gt;'Invoer - Uw woning'!$E65,Uitgangspunten!$B63*'Invoer - Uw woning'!$B48,"")</f>
        <v/>
      </c>
      <c r="F18" s="51" t="str">
        <f>IF('Invoer - Uw woning'!$B65&lt;&gt;'Invoer - Uw woning'!$E65,Uitgangspunten!$C63*'Invoer - Uw woning'!$B48,"")</f>
        <v/>
      </c>
      <c r="G18" s="53"/>
      <c r="H18" s="54" t="str">
        <f>IF('Invoer - Uw woning'!$B65&lt;&gt;'Invoer - Uw woning'!$E65,(1/'Invoer - Uw woning'!$B65)*'Invoer - Uw woning'!$B48*(Uitgangspunten!$B$8/Uitgangspunten!$B$9)*24*365.25/1000/'Invoer - Uw woning'!$B$12-(1/'Invoer - Uw woning'!$E65)*'Invoer - Uw woning'!$B48*(Uitgangspunten!$B$8/Uitgangspunten!$B$9)*24*365.25/1000/'Invoer - Uw woning'!$B$12,"")</f>
        <v/>
      </c>
      <c r="I18" s="55" t="str">
        <f>IF(H18&lt;&gt;"",H18*'Invoer - Uw woning'!$B$12/9.8,"")</f>
        <v/>
      </c>
    </row>
    <row r="19" spans="1:11" x14ac:dyDescent="0.25">
      <c r="A19" s="49" t="s">
        <v>28</v>
      </c>
      <c r="B19" s="50" t="str">
        <f>IF('Invoer - Uw woning'!$B66&lt;&gt;'Invoer - Uw woning'!$E66,Uitgangspunten!$B40*'Invoer - Uw woning'!$B49,"")</f>
        <v/>
      </c>
      <c r="C19" s="51" t="str">
        <f>IF('Invoer - Uw woning'!$B66&lt;&gt;'Invoer - Uw woning'!$E66,Uitgangspunten!$C40*'Invoer - Uw woning'!$B49,"")</f>
        <v/>
      </c>
      <c r="D19" s="52"/>
      <c r="E19" s="50" t="str">
        <f>IF('Invoer - Uw woning'!$B66&lt;&gt;'Invoer - Uw woning'!$E66,Uitgangspunten!$B64*'Invoer - Uw woning'!$B49,"")</f>
        <v/>
      </c>
      <c r="F19" s="51" t="str">
        <f>IF('Invoer - Uw woning'!$B66&lt;&gt;'Invoer - Uw woning'!$E66,Uitgangspunten!$C64*'Invoer - Uw woning'!$B49,"")</f>
        <v/>
      </c>
      <c r="G19" s="53"/>
      <c r="H19" s="54" t="str">
        <f>IF('Invoer - Uw woning'!$B66&lt;&gt;'Invoer - Uw woning'!$E66,(1/'Invoer - Uw woning'!$B66)*'Invoer - Uw woning'!$B49*(Uitgangspunten!$B$8/Uitgangspunten!$B$9)*24*365.25/1000/'Invoer - Uw woning'!$B$12-(1/'Invoer - Uw woning'!$E66)*'Invoer - Uw woning'!$B49*(Uitgangspunten!$B$8/Uitgangspunten!$B$9)*24*365.25/1000/'Invoer - Uw woning'!$B$12,"")</f>
        <v/>
      </c>
      <c r="I19" s="55" t="str">
        <f>IF(H19&lt;&gt;"",H19*'Invoer - Uw woning'!$B$12/9.8,"")</f>
        <v/>
      </c>
      <c r="J19" s="56"/>
      <c r="K19" s="56"/>
    </row>
    <row r="20" spans="1:11" x14ac:dyDescent="0.25">
      <c r="A20" s="49" t="s">
        <v>31</v>
      </c>
      <c r="B20" s="50" t="str">
        <f>IF('Invoer - Uw woning'!$B67&lt;&gt;'Invoer - Uw woning'!$E67,IF('Invoer - Uw woning'!$B$92="Ja",Uitgangspunten!B41*'Invoer - Uw woning'!$B50+Uitgangspunten!B$44*'Invoer - Uw woning'!$B50,Uitgangspunten!B41*'Invoer - Uw woning'!$B50),"")</f>
        <v/>
      </c>
      <c r="C20" s="51" t="str">
        <f>IF('Invoer - Uw woning'!$B67&lt;&gt;'Invoer - Uw woning'!$E67,IF('Invoer - Uw woning'!$B$92="Ja",Uitgangspunten!C41*'Invoer - Uw woning'!$B50+Uitgangspunten!C$44*'Invoer - Uw woning'!$B50,Uitgangspunten!C41*'Invoer - Uw woning'!$B50),"")</f>
        <v/>
      </c>
      <c r="D20" s="52"/>
      <c r="E20" s="50" t="str">
        <f>IF('Invoer - Uw woning'!$B67&lt;&gt;'Invoer - Uw woning'!$E67,Uitgangspunten!$B65*'Invoer - Uw woning'!$B50,"")</f>
        <v/>
      </c>
      <c r="F20" s="51" t="str">
        <f>IF('Invoer - Uw woning'!$B67&lt;&gt;'Invoer - Uw woning'!$E67,Uitgangspunten!$C65*'Invoer - Uw woning'!$B50,"")</f>
        <v/>
      </c>
      <c r="G20" s="53"/>
      <c r="H20" s="54" t="str">
        <f>IF('Invoer - Uw woning'!$B67&lt;&gt;'Invoer - Uw woning'!$E67,('Invoer - Uw woning'!$B67)*'Invoer - Uw woning'!$B50*(Uitgangspunten!$B$8/Uitgangspunten!$B$9)*24*365.25/1000/'Invoer - Uw woning'!$B$12-('Invoer - Uw woning'!$E67)*'Invoer - Uw woning'!$B50*(Uitgangspunten!$B$8/Uitgangspunten!$B$9)*24*365.25/1000/'Invoer - Uw woning'!$B$12,"")</f>
        <v/>
      </c>
      <c r="I20" s="55" t="str">
        <f>IF(H20&lt;&gt;"",H20*'Invoer - Uw woning'!$B$12/9.8,"")</f>
        <v/>
      </c>
    </row>
    <row r="21" spans="1:11" x14ac:dyDescent="0.25">
      <c r="A21" s="49" t="s">
        <v>30</v>
      </c>
      <c r="B21" s="50" t="str">
        <f>IF('Invoer - Uw woning'!$B68&lt;&gt;'Invoer - Uw woning'!$E68,IF('Invoer - Uw woning'!$B$92="Ja",Uitgangspunten!B42*'Invoer - Uw woning'!$B51+Uitgangspunten!B$44*'Invoer - Uw woning'!$B51,Uitgangspunten!B42*'Invoer - Uw woning'!$B51),"")</f>
        <v/>
      </c>
      <c r="C21" s="51" t="str">
        <f>IF('Invoer - Uw woning'!$B68&lt;&gt;'Invoer - Uw woning'!$E68,IF('Invoer - Uw woning'!$B$92="Ja",Uitgangspunten!C42*'Invoer - Uw woning'!$B51+Uitgangspunten!C$44*'Invoer - Uw woning'!$B51,Uitgangspunten!C42*'Invoer - Uw woning'!$B51),"")</f>
        <v/>
      </c>
      <c r="D21" s="52"/>
      <c r="E21" s="50" t="str">
        <f>IF('Invoer - Uw woning'!$B68&lt;&gt;'Invoer - Uw woning'!$E68,Uitgangspunten!$B66*'Invoer - Uw woning'!$B51,"")</f>
        <v/>
      </c>
      <c r="F21" s="51" t="str">
        <f>IF('Invoer - Uw woning'!$B68&lt;&gt;'Invoer - Uw woning'!$E68,Uitgangspunten!$C66*'Invoer - Uw woning'!$B51,"")</f>
        <v/>
      </c>
      <c r="G21" s="53"/>
      <c r="H21" s="54" t="str">
        <f>IF('Invoer - Uw woning'!$B68&lt;&gt;'Invoer - Uw woning'!$E68,('Invoer - Uw woning'!$B68)*'Invoer - Uw woning'!$B51*(Uitgangspunten!$B$8/Uitgangspunten!$B$9)*24*365.25/1000/'Invoer - Uw woning'!$B$12-('Invoer - Uw woning'!$E68)*'Invoer - Uw woning'!$B51*(Uitgangspunten!$B$8/Uitgangspunten!$B$9)*24*365.25/1000/'Invoer - Uw woning'!$B$12,"")</f>
        <v/>
      </c>
      <c r="I21" s="55" t="str">
        <f>IF(H21&lt;&gt;"",H21*'Invoer - Uw woning'!$B$12/9.8,"")</f>
        <v/>
      </c>
    </row>
    <row r="22" spans="1:11" x14ac:dyDescent="0.25">
      <c r="A22" s="49" t="s">
        <v>59</v>
      </c>
      <c r="B22" s="50" t="str">
        <f>IF('Invoer - Uw woning'!$B69&lt;&gt;'Invoer - Uw woning'!$E69,IF('Invoer - Uw woning'!$B$92="Ja",Uitgangspunten!B43+Uitgangspunten!B$44,Uitgangspunten!B43),"")</f>
        <v/>
      </c>
      <c r="C22" s="51" t="str">
        <f>IF('Invoer - Uw woning'!$B69&lt;&gt;'Invoer - Uw woning'!$E69,IF('Invoer - Uw woning'!$B$92="Ja",Uitgangspunten!C43+Uitgangspunten!C$44,Uitgangspunten!C43),"")</f>
        <v/>
      </c>
      <c r="D22" s="52"/>
      <c r="E22" s="50" t="str">
        <f>IF('Invoer - Uw woning'!$B69&lt;&gt;'Invoer - Uw woning'!$E69,Uitgangspunten!$B67*'Invoer - Uw woning'!$B52,"")</f>
        <v/>
      </c>
      <c r="F22" s="51" t="str">
        <f>IF('Invoer - Uw woning'!$B69&lt;&gt;'Invoer - Uw woning'!$E69,Uitgangspunten!$C67*'Invoer - Uw woning'!$B52,"")</f>
        <v/>
      </c>
      <c r="G22" s="53"/>
      <c r="H22" s="54" t="str">
        <f>IF('Invoer - Uw woning'!$B69&lt;&gt;'Invoer - Uw woning'!$E69,('Invoer - Uw woning'!$B69)*'Invoer - Uw woning'!$B52*(Uitgangspunten!$B$8/Uitgangspunten!$B$9)*24*365.25/1000/'Invoer - Uw woning'!$B$12-('Invoer - Uw woning'!$E69)*'Invoer - Uw woning'!$B52*(Uitgangspunten!$B$8/Uitgangspunten!$B$9)*24*365.25/1000/'Invoer - Uw woning'!$B$12,"")</f>
        <v/>
      </c>
      <c r="I22" s="55" t="str">
        <f>IF(H22&lt;&gt;"",H22*'Invoer - Uw woning'!$B$12/9.8,"")</f>
        <v/>
      </c>
    </row>
    <row r="23" spans="1:11" x14ac:dyDescent="0.25">
      <c r="A23" s="49" t="s">
        <v>60</v>
      </c>
      <c r="B23" s="50" t="str">
        <f>IF('Invoer - Uw woning'!$B70&lt;&gt;'Invoer - Uw woning'!$E70,IF('Invoer - Uw woning'!$B$92="Ja",Uitgangspunten!B44+Uitgangspunten!B$44,Uitgangspunten!B44),"")</f>
        <v/>
      </c>
      <c r="C23" s="51" t="str">
        <f>IF('Invoer - Uw woning'!$B70&lt;&gt;'Invoer - Uw woning'!$E70,IF('Invoer - Uw woning'!$B$92="Ja",Uitgangspunten!C44+Uitgangspunten!C$44,Uitgangspunten!C44),"")</f>
        <v/>
      </c>
      <c r="D23" s="52"/>
      <c r="E23" s="50" t="str">
        <f>IF('Invoer - Uw woning'!$B70&lt;&gt;'Invoer - Uw woning'!$E70,Uitgangspunten!$B68*'Invoer - Uw woning'!$B53,"")</f>
        <v/>
      </c>
      <c r="F23" s="51" t="str">
        <f>IF('Invoer - Uw woning'!$B70&lt;&gt;'Invoer - Uw woning'!$E70,Uitgangspunten!$C68*'Invoer - Uw woning'!$B53,"")</f>
        <v/>
      </c>
      <c r="G23" s="53"/>
      <c r="H23" s="54" t="str">
        <f>IF('Invoer - Uw woning'!$B70&lt;&gt;'Invoer - Uw woning'!$E70,('Invoer - Uw woning'!$B70)*'Invoer - Uw woning'!$B53*(Uitgangspunten!$B$8/Uitgangspunten!$B$9)*24*365.25/1000/'Invoer - Uw woning'!$B$12-('Invoer - Uw woning'!$E70)*'Invoer - Uw woning'!$B53*(Uitgangspunten!$B$8/Uitgangspunten!$B$9)*24*365.25/1000/'Invoer - Uw woning'!$B$12,"")</f>
        <v/>
      </c>
      <c r="I23" s="55" t="str">
        <f>IF(H23&lt;&gt;"",H23*'Invoer - Uw woning'!$B$12/9.8,"")</f>
        <v/>
      </c>
    </row>
    <row r="24" spans="1:11" x14ac:dyDescent="0.25">
      <c r="A24" s="49" t="s">
        <v>61</v>
      </c>
      <c r="B24" s="50" t="str">
        <f>IF('Invoer - Uw woning'!$B71&lt;&gt;'Invoer - Uw woning'!$E71,IF('Invoer - Uw woning'!$B$92="Ja",Uitgangspunten!B45+Uitgangspunten!B$44,Uitgangspunten!B45),"")</f>
        <v/>
      </c>
      <c r="C24" s="51" t="str">
        <f>IF('Invoer - Uw woning'!$B71&lt;&gt;'Invoer - Uw woning'!$E71,IF('Invoer - Uw woning'!$B$92="Ja",Uitgangspunten!C45+Uitgangspunten!C$44,Uitgangspunten!C45),"")</f>
        <v/>
      </c>
      <c r="D24" s="52"/>
      <c r="E24" s="50" t="str">
        <f>IF('Invoer - Uw woning'!$B71&lt;&gt;'Invoer - Uw woning'!$E71,Uitgangspunten!$B69*'Invoer - Uw woning'!$B54,"")</f>
        <v/>
      </c>
      <c r="F24" s="51" t="str">
        <f>IF('Invoer - Uw woning'!$B71&lt;&gt;'Invoer - Uw woning'!$E71,Uitgangspunten!$C69*'Invoer - Uw woning'!$B54,"")</f>
        <v/>
      </c>
      <c r="G24" s="53"/>
      <c r="H24" s="54" t="str">
        <f>IF('Invoer - Uw woning'!$B71&lt;&gt;'Invoer - Uw woning'!$E71,('Invoer - Uw woning'!$B71)*'Invoer - Uw woning'!$B54*(Uitgangspunten!$B$8/Uitgangspunten!$B$9)*24*365.25/1000/'Invoer - Uw woning'!$B$12-('Invoer - Uw woning'!$E71)*'Invoer - Uw woning'!$B54*(Uitgangspunten!$B$8/Uitgangspunten!$B$9)*24*365.25/1000/'Invoer - Uw woning'!$B$12,"")</f>
        <v/>
      </c>
      <c r="I24" s="55" t="str">
        <f>IF(H24&lt;&gt;"",H24*'Invoer - Uw woning'!$B$12/9.8,"")</f>
        <v/>
      </c>
    </row>
    <row r="25" spans="1:11" ht="15.75" thickBot="1" x14ac:dyDescent="0.3">
      <c r="A25" s="57" t="s">
        <v>69</v>
      </c>
      <c r="B25" s="58" t="str">
        <f>IF('Invoer - Uw woning'!B11&lt;&gt;"",Uitgangspunten!B45,"")</f>
        <v/>
      </c>
      <c r="C25" s="59" t="str">
        <f>IF('Invoer - Uw woning'!B11&lt;&gt;"",Uitgangspunten!C45,"")</f>
        <v/>
      </c>
      <c r="D25" s="60"/>
      <c r="E25" s="58" t="str">
        <f>IF(B25&lt;&gt;"",0,"")</f>
        <v/>
      </c>
      <c r="F25" s="59" t="str">
        <f>IF(C25&lt;&gt;"",0,"")</f>
        <v/>
      </c>
      <c r="G25" s="61"/>
      <c r="H25" s="62" t="str">
        <f>IF(B25&lt;&gt;"",Uitgangspunten!B21*'Invoer - Uw woning'!B23*'Invoer - Uw woning'!B93*Uitgangspunten!B22,"")</f>
        <v/>
      </c>
      <c r="I25" s="63" t="str">
        <f>IF(H25&lt;&gt;"",H25*'Invoer - Uw woning'!$B$12/9.8,"")</f>
        <v/>
      </c>
    </row>
    <row r="26" spans="1:11" s="41" customFormat="1" ht="16.5" thickTop="1" thickBot="1" x14ac:dyDescent="0.3">
      <c r="A26" s="64" t="s">
        <v>6</v>
      </c>
      <c r="B26" s="65">
        <f t="shared" ref="B26:F26" si="0">SUM(B14:B25)</f>
        <v>0</v>
      </c>
      <c r="C26" s="66">
        <f t="shared" si="0"/>
        <v>0</v>
      </c>
      <c r="D26" s="67"/>
      <c r="E26" s="65">
        <f t="shared" si="0"/>
        <v>0</v>
      </c>
      <c r="F26" s="66">
        <f t="shared" si="0"/>
        <v>0</v>
      </c>
      <c r="G26" s="68"/>
      <c r="H26" s="69">
        <f>SUM(H14:H25)</f>
        <v>0</v>
      </c>
      <c r="I26" s="70">
        <f>SUM(I14:I25)</f>
        <v>0</v>
      </c>
    </row>
    <row r="27" spans="1:11" ht="15.75" thickTop="1" x14ac:dyDescent="0.25"/>
    <row r="28" spans="1:11" x14ac:dyDescent="0.25">
      <c r="A28" s="31" t="s">
        <v>65</v>
      </c>
      <c r="B28" s="31" t="str">
        <f>IF('Invoer - Uw woning'!B11&lt;&gt;"",'Invoer - Uw woning'!B23,"")</f>
        <v/>
      </c>
    </row>
    <row r="29" spans="1:11" x14ac:dyDescent="0.25">
      <c r="A29" s="31" t="s">
        <v>67</v>
      </c>
      <c r="B29" s="31" t="str">
        <f>'Invoer - Uw woning'!B24</f>
        <v/>
      </c>
    </row>
    <row r="30" spans="1:11" x14ac:dyDescent="0.25">
      <c r="A30" s="31" t="s">
        <v>68</v>
      </c>
      <c r="B30" s="31" t="str">
        <f>'Invoer - Uw woning'!B25</f>
        <v/>
      </c>
    </row>
    <row r="31" spans="1:11" x14ac:dyDescent="0.25">
      <c r="A31" s="41" t="s">
        <v>66</v>
      </c>
      <c r="B31" s="71" t="str">
        <f>IFERROR(B28-H26,"")</f>
        <v/>
      </c>
    </row>
    <row r="35" spans="5:6" x14ac:dyDescent="0.25">
      <c r="E35" s="72"/>
      <c r="F35" s="72"/>
    </row>
    <row r="36" spans="5:6" x14ac:dyDescent="0.25">
      <c r="E36" s="72"/>
      <c r="F36" s="72"/>
    </row>
  </sheetData>
  <sheetProtection algorithmName="SHA-512" hashValue="3MwYjP9ypmBY7jTO89gO3u3on0uYOJEkZTI7tHXNzODgLFVONwgA9jpMy2+yf2JlYLMbl/QmqXG3mB1w8M3CKQ==" saltValue="MCAKcLeWhHOhmQWQy/bLLA==" spinCount="100000" sheet="1" objects="1" scenarios="1"/>
  <mergeCells count="3">
    <mergeCell ref="B12:C12"/>
    <mergeCell ref="E12:F12"/>
    <mergeCell ref="H12:I12"/>
  </mergeCells>
  <conditionalFormatting sqref="B29">
    <cfRule type="expression" dxfId="5" priority="1" stopIfTrue="1">
      <formula>AND($B$29&gt;=$B$31)</formula>
    </cfRule>
    <cfRule type="expression" dxfId="4" priority="2" stopIfTrue="1">
      <formula>AND(($B$29+$B$29*0.1)&gt;=$B$31)</formula>
    </cfRule>
    <cfRule type="expression" dxfId="3" priority="3" stopIfTrue="1">
      <formula>AND(($B$29+$B$29*0.1)&lt;$B$31)</formula>
    </cfRule>
  </conditionalFormatting>
  <conditionalFormatting sqref="B30">
    <cfRule type="expression" dxfId="2" priority="4" stopIfTrue="1">
      <formula>AND($B$30&gt;=$B$31)</formula>
    </cfRule>
    <cfRule type="expression" dxfId="1" priority="5" stopIfTrue="1">
      <formula>AND(($B$30+$B$30*0.2)&gt;=$B$31)</formula>
    </cfRule>
    <cfRule type="expression" dxfId="0" priority="6" stopIfTrue="1">
      <formula>AND(($B$30+$B$30*0.2)&lt;$B$31)</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C47E-B11C-46E1-9247-3DAB6C71DE1E}">
  <sheetPr codeName="Blad5"/>
  <dimension ref="A1:C5"/>
  <sheetViews>
    <sheetView workbookViewId="0">
      <selection sqref="A1:XFD1048576"/>
    </sheetView>
  </sheetViews>
  <sheetFormatPr defaultRowHeight="15" x14ac:dyDescent="0.25"/>
  <cols>
    <col min="1" max="1" width="20" customWidth="1"/>
  </cols>
  <sheetData>
    <row r="1" spans="1:3" x14ac:dyDescent="0.25">
      <c r="A1" t="s">
        <v>78</v>
      </c>
      <c r="C1" t="s">
        <v>80</v>
      </c>
    </row>
    <row r="2" spans="1:3" x14ac:dyDescent="0.25">
      <c r="A2" t="s">
        <v>79</v>
      </c>
      <c r="C2" t="s">
        <v>45</v>
      </c>
    </row>
    <row r="3" spans="1:3" x14ac:dyDescent="0.25">
      <c r="A3" t="s">
        <v>76</v>
      </c>
      <c r="C3" t="s">
        <v>46</v>
      </c>
    </row>
    <row r="4" spans="1:3" x14ac:dyDescent="0.25">
      <c r="A4" t="s">
        <v>5</v>
      </c>
    </row>
    <row r="5" spans="1:3" x14ac:dyDescent="0.25">
      <c r="A5" t="s">
        <v>77</v>
      </c>
    </row>
  </sheetData>
  <sheetProtection algorithmName="SHA-512" hashValue="QVuwvBozdeeLXgRUeB63lZGJLBjtjd30jCExr04ME/qg3yogUnhfYYKJD5Xv3jlUO3M4WM/pl4Vyk9iX5q1KUw==" saltValue="iTAnEdNx1dICGqvZ8uWiv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Uitgangspunten</vt:lpstr>
      <vt:lpstr>Rekenhulp</vt:lpstr>
      <vt:lpstr>Invoer - Jachtlaan</vt:lpstr>
      <vt:lpstr>Uitvoer - Jachtlaan</vt:lpstr>
      <vt:lpstr>Invoer - Uw woning</vt:lpstr>
      <vt:lpstr>Uitvoer - Uw woning</vt:lpstr>
    </vt:vector>
  </TitlesOfParts>
  <Company>RID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Heilmann</dc:creator>
  <cp:lastModifiedBy>Linda Heilmann</cp:lastModifiedBy>
  <dcterms:created xsi:type="dcterms:W3CDTF">2024-03-05T14:02:48Z</dcterms:created>
  <dcterms:modified xsi:type="dcterms:W3CDTF">2024-03-17T14:32:35Z</dcterms:modified>
</cp:coreProperties>
</file>